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/>
  <mc:AlternateContent xmlns:mc="http://schemas.openxmlformats.org/markup-compatibility/2006">
    <mc:Choice Requires="x15">
      <x15ac:absPath xmlns:x15ac="http://schemas.microsoft.com/office/spreadsheetml/2010/11/ac" url="\\alpha\personal$\Кузнецов_А\911\Рабочая папка\Ярлыки\Папка для временных документов\ХЛАМ\Калькуляторы\"/>
    </mc:Choice>
  </mc:AlternateContent>
  <xr:revisionPtr revIDLastSave="0" documentId="13_ncr:1_{1B831143-057E-47F0-8574-8D31BED89773}" xr6:coauthVersionLast="47" xr6:coauthVersionMax="47" xr10:uidLastSave="{00000000-0000-0000-0000-000000000000}"/>
  <bookViews>
    <workbookView xWindow="-28920" yWindow="-120" windowWidth="29040" windowHeight="15840" tabRatio="471" xr2:uid="{00000000-000D-0000-FFFF-FFFF00000000}"/>
  </bookViews>
  <sheets>
    <sheet name="Milan" sheetId="1" r:id="rId1"/>
    <sheet name="Tokyo" sheetId="6" r:id="rId2"/>
    <sheet name="Texas" sheetId="7" r:id="rId3"/>
    <sheet name="Texas (крепежн. вкладыш)" sheetId="10" r:id="rId4"/>
    <sheet name="Palermo" sheetId="9" r:id="rId5"/>
    <sheet name="Данные" sheetId="5" state="veryHidden" r:id="rId6"/>
  </sheets>
  <definedNames>
    <definedName name="Belarus">0.048</definedName>
    <definedName name="BTYPS">Данные!$A$175:$A$178</definedName>
    <definedName name="CBUAQ">Данные!$A$184:$A$210</definedName>
    <definedName name="CCCMT">Данные!$A$78:$A$79</definedName>
    <definedName name="CEXUI">Данные!$A$175:$A$178</definedName>
    <definedName name="DYRFP">Данные!$B$5:$B$31</definedName>
    <definedName name="FIGQB">Данные!$A$42:$A$68</definedName>
    <definedName name="FYLTY">Данные!$A$89:$A$130</definedName>
    <definedName name="GQIBE">Данные!$A$35:$A$40</definedName>
    <definedName name="GURGW">Данные!$B$5:$B$31</definedName>
    <definedName name="IANCJ">Данные!$A$175:$A$178</definedName>
    <definedName name="IQDLQ">Данные!$A$5:$A$28</definedName>
    <definedName name="JJEDD">Данные!$A$5:$A$28</definedName>
    <definedName name="JSLDC">Данные!$B$5:$B$31</definedName>
    <definedName name="KPHTG">Данные!$A$184:$A$210</definedName>
    <definedName name="LHMNL">Данные!$A$89:$A$130</definedName>
    <definedName name="MilType">Данные!$F$5:$F$6</definedName>
    <definedName name="MRGOJ">Данные!$A$5:$A$28</definedName>
    <definedName name="MUGNQ">Данные!$A$175:$A$178</definedName>
    <definedName name="OGGLT">Данные!$A$35:$A$40</definedName>
    <definedName name="PSAXR">Данные!$A$35:$A$40</definedName>
    <definedName name="QPAFE">Данные!$A$42:$A$65</definedName>
    <definedName name="RCHVF">Данные!$A$221:$A$243</definedName>
    <definedName name="RCUTI">Данные!$A$184:$A$210</definedName>
    <definedName name="RRWVS">Данные!$A$135:$A$138</definedName>
    <definedName name="RWIPI">Данные!$A$81:$A$83</definedName>
    <definedName name="SACMX">Данные!$A$89:$A$130</definedName>
    <definedName name="TAYYL">Данные!$A$35:$A$40</definedName>
    <definedName name="TexasType">Данные!#REF!</definedName>
    <definedName name="TokyoType">Данные!$G$5:$G$6</definedName>
    <definedName name="TTAIM">Данные!$A$184:$A$210</definedName>
    <definedName name="VNIHD">Данные!$A$42:$A$68</definedName>
    <definedName name="VNVOX">Данные!$A$143:$A$170</definedName>
    <definedName name="WHMSA">Данные!$A$42:$A$68</definedName>
    <definedName name="XCECV">Данные!$A$89:$A$130</definedName>
    <definedName name="XLPKA">#REF!</definedName>
    <definedName name="XODFC">Данные!$B$5:$B$31</definedName>
    <definedName name="YAWAO">Данные!$A$5:$A$28</definedName>
    <definedName name="Z_A22E8694_B07B_4E99_AA25_83A76CC13B05_.wvu.PrintArea" localSheetId="0" hidden="1">Milan!$A$2:$K$79</definedName>
    <definedName name="Z_A22E8694_B07B_4E99_AA25_83A76CC13B05_.wvu.PrintArea" localSheetId="4" hidden="1">Palermo!$A$2:$K$83</definedName>
    <definedName name="Z_A22E8694_B07B_4E99_AA25_83A76CC13B05_.wvu.PrintArea" localSheetId="2" hidden="1">Texas!$A$2:$K$110</definedName>
    <definedName name="Z_A22E8694_B07B_4E99_AA25_83A76CC13B05_.wvu.PrintArea" localSheetId="3" hidden="1">'Texas (крепежн. вкладыш)'!$A$2:$K$44</definedName>
    <definedName name="Z_A22E8694_B07B_4E99_AA25_83A76CC13B05_.wvu.PrintArea" localSheetId="1" hidden="1">Tokyo!$A$2:$K$95</definedName>
    <definedName name="Z_F69A7076_9F1C_4D95_80EA_B4A9F6043254_.wvu.PrintArea" localSheetId="0" hidden="1">Milan!$A$2:$K$79</definedName>
    <definedName name="Z_F69A7076_9F1C_4D95_80EA_B4A9F6043254_.wvu.PrintArea" localSheetId="4" hidden="1">Palermo!$A$2:$K$83</definedName>
    <definedName name="Z_F69A7076_9F1C_4D95_80EA_B4A9F6043254_.wvu.PrintArea" localSheetId="2" hidden="1">Texas!$A$2:$K$110</definedName>
    <definedName name="Z_F69A7076_9F1C_4D95_80EA_B4A9F6043254_.wvu.PrintArea" localSheetId="3" hidden="1">'Texas (крепежн. вкладыш)'!$A$2:$K$44</definedName>
    <definedName name="Z_F69A7076_9F1C_4D95_80EA_B4A9F6043254_.wvu.PrintArea" localSheetId="1" hidden="1">Tokyo!$A$2:$K$95</definedName>
    <definedName name="_xlnm.Print_Area" localSheetId="0">Milan!$A$2:$I$70</definedName>
    <definedName name="_xlnm.Print_Area" localSheetId="4">Palermo!$A$2:$I$84</definedName>
    <definedName name="_xlnm.Print_Area" localSheetId="2">Texas!$A$2:$I$142</definedName>
    <definedName name="_xlnm.Print_Area" localSheetId="3">'Texas (крепежн. вкладыш)'!$A$2:$I$48</definedName>
    <definedName name="_xlnm.Print_Area" localSheetId="1">Tokyo!$A$2:$I$108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0" i="9" l="1"/>
  <c r="I69" i="9"/>
  <c r="I68" i="9"/>
  <c r="I67" i="9"/>
  <c r="I66" i="9"/>
  <c r="H66" i="9"/>
  <c r="I65" i="9"/>
  <c r="H65" i="9"/>
  <c r="I64" i="9"/>
  <c r="H64" i="9" s="1"/>
  <c r="I63" i="9"/>
  <c r="H63" i="9"/>
  <c r="I62" i="9"/>
  <c r="H62" i="9" s="1"/>
  <c r="I61" i="9"/>
  <c r="H61" i="9"/>
  <c r="I60" i="9"/>
  <c r="H60" i="9"/>
  <c r="I59" i="9"/>
  <c r="H59" i="9" s="1"/>
  <c r="I58" i="9"/>
  <c r="H58" i="9" s="1"/>
  <c r="I57" i="9"/>
  <c r="H57" i="9" s="1"/>
  <c r="I56" i="9"/>
  <c r="H56" i="9" s="1"/>
  <c r="G70" i="9"/>
  <c r="G69" i="9"/>
  <c r="G68" i="9"/>
  <c r="G67" i="9"/>
  <c r="G66" i="9"/>
  <c r="F66" i="9"/>
  <c r="G65" i="9"/>
  <c r="F65" i="9"/>
  <c r="G64" i="9"/>
  <c r="F64" i="9"/>
  <c r="G63" i="9"/>
  <c r="F63" i="9"/>
  <c r="G62" i="9"/>
  <c r="F62" i="9"/>
  <c r="G61" i="9"/>
  <c r="F61" i="9"/>
  <c r="G60" i="9"/>
  <c r="F60" i="9"/>
  <c r="G59" i="9"/>
  <c r="F59" i="9"/>
  <c r="G58" i="9"/>
  <c r="F58" i="9"/>
  <c r="G57" i="9"/>
  <c r="F57" i="9"/>
  <c r="G56" i="9"/>
  <c r="F56" i="9"/>
  <c r="E70" i="9"/>
  <c r="E69" i="9"/>
  <c r="E68" i="9"/>
  <c r="E67" i="9"/>
  <c r="E66" i="9"/>
  <c r="D66" i="9"/>
  <c r="E65" i="9"/>
  <c r="D65" i="9"/>
  <c r="E64" i="9"/>
  <c r="D64" i="9" s="1"/>
  <c r="E63" i="9"/>
  <c r="D63" i="9"/>
  <c r="E62" i="9"/>
  <c r="D62" i="9" s="1"/>
  <c r="E61" i="9"/>
  <c r="D61" i="9"/>
  <c r="E60" i="9"/>
  <c r="D60" i="9"/>
  <c r="E59" i="9"/>
  <c r="D59" i="9" s="1"/>
  <c r="E58" i="9"/>
  <c r="D58" i="9" s="1"/>
  <c r="E57" i="9"/>
  <c r="D57" i="9" s="1"/>
  <c r="E56" i="9"/>
  <c r="D56" i="9" s="1"/>
  <c r="I99" i="7"/>
  <c r="H99" i="7" s="1"/>
  <c r="I98" i="7"/>
  <c r="H98" i="7" s="1"/>
  <c r="I97" i="7"/>
  <c r="I96" i="7"/>
  <c r="I95" i="7"/>
  <c r="I94" i="7"/>
  <c r="I93" i="7"/>
  <c r="I92" i="7"/>
  <c r="I91" i="7"/>
  <c r="H91" i="7"/>
  <c r="I90" i="7"/>
  <c r="H90" i="7"/>
  <c r="I89" i="7"/>
  <c r="H89" i="7"/>
  <c r="I88" i="7"/>
  <c r="H88" i="7"/>
  <c r="I87" i="7"/>
  <c r="H87" i="7"/>
  <c r="I85" i="7"/>
  <c r="I86" i="7" s="1"/>
  <c r="H85" i="7"/>
  <c r="H86" i="7" s="1"/>
  <c r="I83" i="7"/>
  <c r="I84" i="7" s="1"/>
  <c r="H83" i="7"/>
  <c r="H84" i="7" s="1"/>
  <c r="I81" i="7"/>
  <c r="I82" i="7" s="1"/>
  <c r="H81" i="7"/>
  <c r="H82" i="7" s="1"/>
  <c r="I79" i="7"/>
  <c r="I80" i="7" s="1"/>
  <c r="H79" i="7"/>
  <c r="H80" i="7" s="1"/>
  <c r="I77" i="7"/>
  <c r="I78" i="7" s="1"/>
  <c r="H77" i="7"/>
  <c r="H78" i="7" s="1"/>
  <c r="I75" i="7"/>
  <c r="I76" i="7" s="1"/>
  <c r="H75" i="7"/>
  <c r="H76" i="7" s="1"/>
  <c r="I73" i="7"/>
  <c r="I74" i="7" s="1"/>
  <c r="H73" i="7"/>
  <c r="H74" i="7" s="1"/>
  <c r="I71" i="7"/>
  <c r="I72" i="7" s="1"/>
  <c r="H71" i="7"/>
  <c r="H72" i="7" s="1"/>
  <c r="G99" i="7"/>
  <c r="F99" i="7" s="1"/>
  <c r="G98" i="7"/>
  <c r="F98" i="7" s="1"/>
  <c r="G97" i="7"/>
  <c r="G96" i="7"/>
  <c r="G95" i="7"/>
  <c r="G94" i="7"/>
  <c r="G93" i="7"/>
  <c r="G92" i="7"/>
  <c r="G91" i="7"/>
  <c r="F91" i="7"/>
  <c r="G90" i="7"/>
  <c r="F90" i="7"/>
  <c r="G89" i="7"/>
  <c r="F89" i="7"/>
  <c r="G88" i="7"/>
  <c r="F88" i="7"/>
  <c r="G87" i="7"/>
  <c r="F87" i="7"/>
  <c r="G85" i="7"/>
  <c r="G86" i="7" s="1"/>
  <c r="F85" i="7"/>
  <c r="F86" i="7" s="1"/>
  <c r="G83" i="7"/>
  <c r="G84" i="7" s="1"/>
  <c r="F83" i="7"/>
  <c r="F84" i="7" s="1"/>
  <c r="G81" i="7"/>
  <c r="G82" i="7" s="1"/>
  <c r="F81" i="7"/>
  <c r="F82" i="7" s="1"/>
  <c r="G79" i="7"/>
  <c r="G80" i="7" s="1"/>
  <c r="F79" i="7"/>
  <c r="F80" i="7" s="1"/>
  <c r="G77" i="7"/>
  <c r="G78" i="7" s="1"/>
  <c r="F77" i="7"/>
  <c r="F78" i="7" s="1"/>
  <c r="G75" i="7"/>
  <c r="G76" i="7" s="1"/>
  <c r="F75" i="7"/>
  <c r="F76" i="7" s="1"/>
  <c r="G73" i="7"/>
  <c r="G74" i="7" s="1"/>
  <c r="F73" i="7"/>
  <c r="F74" i="7" s="1"/>
  <c r="G71" i="7"/>
  <c r="G72" i="7" s="1"/>
  <c r="F71" i="7"/>
  <c r="F72" i="7" s="1"/>
  <c r="E99" i="7"/>
  <c r="D99" i="7" s="1"/>
  <c r="E98" i="7"/>
  <c r="D98" i="7" s="1"/>
  <c r="E97" i="7"/>
  <c r="E96" i="7"/>
  <c r="E95" i="7"/>
  <c r="E94" i="7"/>
  <c r="E93" i="7"/>
  <c r="E92" i="7"/>
  <c r="E91" i="7"/>
  <c r="D91" i="7"/>
  <c r="E90" i="7"/>
  <c r="D90" i="7"/>
  <c r="E89" i="7"/>
  <c r="D89" i="7"/>
  <c r="E88" i="7"/>
  <c r="D88" i="7"/>
  <c r="E87" i="7"/>
  <c r="D87" i="7"/>
  <c r="E85" i="7"/>
  <c r="E86" i="7" s="1"/>
  <c r="D85" i="7"/>
  <c r="D86" i="7" s="1"/>
  <c r="E83" i="7"/>
  <c r="E84" i="7" s="1"/>
  <c r="D83" i="7"/>
  <c r="D84" i="7" s="1"/>
  <c r="E81" i="7"/>
  <c r="E82" i="7" s="1"/>
  <c r="D81" i="7"/>
  <c r="D82" i="7" s="1"/>
  <c r="E79" i="7"/>
  <c r="E80" i="7" s="1"/>
  <c r="D79" i="7"/>
  <c r="D80" i="7" s="1"/>
  <c r="E77" i="7"/>
  <c r="E78" i="7" s="1"/>
  <c r="D77" i="7"/>
  <c r="D78" i="7" s="1"/>
  <c r="E75" i="7"/>
  <c r="E76" i="7" s="1"/>
  <c r="D75" i="7"/>
  <c r="D76" i="7" s="1"/>
  <c r="E73" i="7"/>
  <c r="E74" i="7" s="1"/>
  <c r="D73" i="7"/>
  <c r="D74" i="7" s="1"/>
  <c r="E71" i="7"/>
  <c r="E72" i="7" s="1"/>
  <c r="D71" i="7"/>
  <c r="D72" i="7" s="1"/>
  <c r="I61" i="6"/>
  <c r="I60" i="6"/>
  <c r="I59" i="6"/>
  <c r="I58" i="6"/>
  <c r="H58" i="6" s="1"/>
  <c r="I57" i="6"/>
  <c r="H57" i="6" s="1"/>
  <c r="I56" i="6"/>
  <c r="H56" i="6"/>
  <c r="I55" i="6"/>
  <c r="H55" i="6"/>
  <c r="I54" i="6"/>
  <c r="H54" i="6" s="1"/>
  <c r="I53" i="6"/>
  <c r="H53" i="6" s="1"/>
  <c r="G61" i="6"/>
  <c r="G60" i="6"/>
  <c r="G59" i="6"/>
  <c r="G58" i="6"/>
  <c r="F58" i="6" s="1"/>
  <c r="G57" i="6"/>
  <c r="F57" i="6" s="1"/>
  <c r="G56" i="6"/>
  <c r="F56" i="6"/>
  <c r="G55" i="6"/>
  <c r="F55" i="6"/>
  <c r="G54" i="6"/>
  <c r="F54" i="6" s="1"/>
  <c r="G53" i="6"/>
  <c r="F53" i="6" s="1"/>
  <c r="E61" i="6"/>
  <c r="E60" i="6"/>
  <c r="E59" i="6"/>
  <c r="E58" i="6"/>
  <c r="D58" i="6" s="1"/>
  <c r="E57" i="6"/>
  <c r="D57" i="6" s="1"/>
  <c r="E56" i="6"/>
  <c r="D56" i="6"/>
  <c r="E55" i="6"/>
  <c r="D55" i="6"/>
  <c r="E54" i="6"/>
  <c r="D54" i="6" s="1"/>
  <c r="E53" i="6"/>
  <c r="D53" i="6" s="1"/>
  <c r="I63" i="1"/>
  <c r="I62" i="1"/>
  <c r="I61" i="1"/>
  <c r="I60" i="1"/>
  <c r="H60" i="1" s="1"/>
  <c r="I59" i="1"/>
  <c r="H59" i="1" s="1"/>
  <c r="I58" i="1"/>
  <c r="H58" i="1"/>
  <c r="I57" i="1"/>
  <c r="H57" i="1"/>
  <c r="I56" i="1"/>
  <c r="H56" i="1" s="1"/>
  <c r="I55" i="1"/>
  <c r="H55" i="1"/>
  <c r="G63" i="1"/>
  <c r="G62" i="1"/>
  <c r="G61" i="1"/>
  <c r="G60" i="1"/>
  <c r="F60" i="1" s="1"/>
  <c r="G59" i="1"/>
  <c r="F59" i="1"/>
  <c r="G58" i="1"/>
  <c r="F58" i="1"/>
  <c r="G57" i="1"/>
  <c r="F57" i="1"/>
  <c r="G56" i="1"/>
  <c r="F56" i="1" s="1"/>
  <c r="G55" i="1"/>
  <c r="F55" i="1"/>
  <c r="E63" i="1"/>
  <c r="E62" i="1"/>
  <c r="E61" i="1"/>
  <c r="E60" i="1"/>
  <c r="D60" i="1" s="1"/>
  <c r="E59" i="1"/>
  <c r="D59" i="1" s="1"/>
  <c r="E58" i="1"/>
  <c r="D58" i="1"/>
  <c r="E57" i="1"/>
  <c r="D57" i="1"/>
  <c r="E56" i="1"/>
  <c r="D56" i="1" s="1"/>
  <c r="E55" i="1"/>
  <c r="D55" i="1"/>
  <c r="C70" i="9" l="1"/>
  <c r="C69" i="9"/>
  <c r="C68" i="9"/>
  <c r="C67" i="9"/>
  <c r="C66" i="9"/>
  <c r="B66" i="9"/>
  <c r="C65" i="9"/>
  <c r="B65" i="9"/>
  <c r="C64" i="9"/>
  <c r="B64" i="9" s="1"/>
  <c r="C63" i="9"/>
  <c r="B63" i="9"/>
  <c r="C62" i="9"/>
  <c r="B62" i="9" s="1"/>
  <c r="C61" i="9"/>
  <c r="B61" i="9"/>
  <c r="C60" i="9"/>
  <c r="B60" i="9"/>
  <c r="C59" i="9"/>
  <c r="B59" i="9" s="1"/>
  <c r="C58" i="9"/>
  <c r="B58" i="9" s="1"/>
  <c r="C57" i="9"/>
  <c r="B57" i="9" s="1"/>
  <c r="C56" i="9"/>
  <c r="B56" i="9" s="1"/>
  <c r="C90" i="7"/>
  <c r="B90" i="7"/>
  <c r="C88" i="7"/>
  <c r="B88" i="7"/>
  <c r="C61" i="6"/>
  <c r="C60" i="6"/>
  <c r="C59" i="6"/>
  <c r="C58" i="6"/>
  <c r="C57" i="6"/>
  <c r="B57" i="6" s="1"/>
  <c r="C56" i="6"/>
  <c r="B56" i="6"/>
  <c r="C55" i="6"/>
  <c r="B55" i="6"/>
  <c r="C54" i="6"/>
  <c r="B54" i="6" s="1"/>
  <c r="C53" i="6"/>
  <c r="B53" i="6" s="1"/>
  <c r="A42" i="1"/>
  <c r="C63" i="1"/>
  <c r="C62" i="1"/>
  <c r="C61" i="1"/>
  <c r="C60" i="1"/>
  <c r="C59" i="1"/>
  <c r="B59" i="1" s="1"/>
  <c r="C58" i="1"/>
  <c r="B58" i="1"/>
  <c r="C57" i="1"/>
  <c r="B57" i="1"/>
  <c r="C56" i="1"/>
  <c r="B56" i="1" s="1"/>
  <c r="C55" i="1"/>
  <c r="B55" i="1" s="1"/>
  <c r="C89" i="7"/>
  <c r="B91" i="7"/>
  <c r="C91" i="7"/>
  <c r="B89" i="7"/>
  <c r="B87" i="7"/>
  <c r="B83" i="7"/>
  <c r="B84" i="7" s="1"/>
  <c r="C85" i="7"/>
  <c r="C86" i="7" s="1"/>
  <c r="B85" i="7"/>
  <c r="B86" i="7" s="1"/>
  <c r="C81" i="7"/>
  <c r="C82" i="7" s="1"/>
  <c r="B81" i="7"/>
  <c r="B82" i="7" s="1"/>
  <c r="C77" i="7"/>
  <c r="C78" i="7" s="1"/>
  <c r="B77" i="7"/>
  <c r="B78" i="7" s="1"/>
  <c r="C73" i="7"/>
  <c r="C74" i="7" s="1"/>
  <c r="C71" i="7"/>
  <c r="C72" i="7" s="1"/>
  <c r="B73" i="7"/>
  <c r="B74" i="7" s="1"/>
  <c r="C20" i="10"/>
  <c r="B20" i="10" s="1"/>
  <c r="C75" i="7"/>
  <c r="C76" i="7" s="1"/>
  <c r="B75" i="7"/>
  <c r="B76" i="7" s="1"/>
  <c r="C99" i="7"/>
  <c r="C98" i="7"/>
  <c r="B98" i="7" s="1"/>
  <c r="C94" i="7"/>
  <c r="C97" i="7"/>
  <c r="C96" i="7"/>
  <c r="C95" i="7"/>
  <c r="C93" i="7"/>
  <c r="C92" i="7"/>
  <c r="C87" i="7"/>
  <c r="C83" i="7"/>
  <c r="C84" i="7" s="1"/>
  <c r="C79" i="7"/>
  <c r="C80" i="7" s="1"/>
  <c r="B79" i="7"/>
  <c r="B80" i="7" s="1"/>
  <c r="B71" i="7"/>
  <c r="A49" i="7" l="1"/>
  <c r="A48" i="7"/>
  <c r="A47" i="7"/>
  <c r="A46" i="7"/>
  <c r="C46" i="7" s="1"/>
  <c r="A41" i="7"/>
  <c r="A44" i="7"/>
  <c r="A43" i="7"/>
  <c r="G43" i="7" s="1"/>
  <c r="A42" i="7"/>
  <c r="E42" i="7" s="1"/>
  <c r="H19" i="9"/>
  <c r="I19" i="9" s="1"/>
  <c r="F19" i="9"/>
  <c r="G19" i="9" s="1"/>
  <c r="D19" i="9"/>
  <c r="E19" i="9" s="1"/>
  <c r="C19" i="9"/>
  <c r="B19" i="9"/>
  <c r="A42" i="9"/>
  <c r="A41" i="9"/>
  <c r="A40" i="9"/>
  <c r="A39" i="9"/>
  <c r="A37" i="9"/>
  <c r="A36" i="9"/>
  <c r="A35" i="9"/>
  <c r="A34" i="9"/>
  <c r="B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B20" i="6"/>
  <c r="C51" i="6"/>
  <c r="E51" i="6"/>
  <c r="G51" i="6"/>
  <c r="I51" i="6"/>
  <c r="I53" i="1"/>
  <c r="A43" i="6"/>
  <c r="A42" i="6"/>
  <c r="A41" i="6"/>
  <c r="A40" i="6"/>
  <c r="A38" i="6"/>
  <c r="A37" i="6"/>
  <c r="A36" i="6"/>
  <c r="A35" i="6"/>
  <c r="C35" i="6" s="1"/>
  <c r="B20" i="1" l="1"/>
  <c r="A45" i="1"/>
  <c r="A44" i="1"/>
  <c r="A43" i="1"/>
  <c r="A40" i="1"/>
  <c r="A39" i="1"/>
  <c r="A38" i="1"/>
  <c r="A37" i="1"/>
  <c r="I45" i="1"/>
  <c r="G44" i="1"/>
  <c r="E43" i="1"/>
  <c r="C42" i="1"/>
  <c r="I40" i="1"/>
  <c r="G39" i="1"/>
  <c r="E38" i="1"/>
  <c r="C37" i="1"/>
  <c r="B35" i="1"/>
  <c r="C52" i="1"/>
  <c r="B47" i="1"/>
  <c r="E38" i="10" l="1"/>
  <c r="G38" i="10"/>
  <c r="I36" i="10"/>
  <c r="I39" i="10"/>
  <c r="I38" i="10"/>
  <c r="I37" i="10"/>
  <c r="G39" i="10"/>
  <c r="G37" i="10"/>
  <c r="G36" i="10"/>
  <c r="E39" i="10"/>
  <c r="E37" i="10"/>
  <c r="E36" i="10"/>
  <c r="C39" i="10"/>
  <c r="C38" i="10"/>
  <c r="C37" i="10"/>
  <c r="C36" i="10"/>
  <c r="C29" i="7"/>
  <c r="C27" i="7" s="1"/>
  <c r="I20" i="10"/>
  <c r="G20" i="10"/>
  <c r="E20" i="10"/>
  <c r="I18" i="10"/>
  <c r="G18" i="10"/>
  <c r="E18" i="10"/>
  <c r="C18" i="10"/>
  <c r="H22" i="10"/>
  <c r="F22" i="10"/>
  <c r="D22" i="10"/>
  <c r="B22" i="10"/>
  <c r="D7" i="10"/>
  <c r="F7" i="10"/>
  <c r="H7" i="10"/>
  <c r="B7" i="10"/>
  <c r="B26" i="10" s="1"/>
  <c r="I34" i="10" l="1"/>
  <c r="H34" i="10" s="1"/>
  <c r="G34" i="10"/>
  <c r="F34" i="10" s="1"/>
  <c r="E34" i="10"/>
  <c r="D34" i="10" s="1"/>
  <c r="C34" i="10"/>
  <c r="B34" i="10" s="1"/>
  <c r="I31" i="10"/>
  <c r="G31" i="10"/>
  <c r="E31" i="10"/>
  <c r="C31" i="10"/>
  <c r="I30" i="10"/>
  <c r="H30" i="10" s="1"/>
  <c r="G30" i="10"/>
  <c r="F30" i="10" s="1"/>
  <c r="E30" i="10"/>
  <c r="D30" i="10" s="1"/>
  <c r="C30" i="10"/>
  <c r="B30" i="10" s="1"/>
  <c r="I28" i="10"/>
  <c r="H28" i="10" s="1"/>
  <c r="G28" i="10"/>
  <c r="F28" i="10" s="1"/>
  <c r="E28" i="10"/>
  <c r="D28" i="10" s="1"/>
  <c r="C28" i="10"/>
  <c r="B28" i="10" s="1"/>
  <c r="H27" i="10"/>
  <c r="I27" i="10" s="1"/>
  <c r="F27" i="10"/>
  <c r="G27" i="10" s="1"/>
  <c r="D27" i="10"/>
  <c r="E27" i="10" s="1"/>
  <c r="B27" i="10"/>
  <c r="C27" i="10" s="1"/>
  <c r="H26" i="10"/>
  <c r="I26" i="10" s="1"/>
  <c r="F26" i="10"/>
  <c r="G26" i="10" s="1"/>
  <c r="D26" i="10"/>
  <c r="E26" i="10" s="1"/>
  <c r="C26" i="10"/>
  <c r="I25" i="10"/>
  <c r="H25" i="10" s="1"/>
  <c r="G25" i="10"/>
  <c r="F25" i="10" s="1"/>
  <c r="E25" i="10"/>
  <c r="D25" i="10" s="1"/>
  <c r="C25" i="10"/>
  <c r="B25" i="10" s="1"/>
  <c r="H20" i="10"/>
  <c r="H21" i="10" s="1"/>
  <c r="F20" i="10"/>
  <c r="F21" i="10" s="1"/>
  <c r="D20" i="10"/>
  <c r="D21" i="10" s="1"/>
  <c r="B21" i="10"/>
  <c r="H18" i="10"/>
  <c r="H19" i="10" s="1"/>
  <c r="F18" i="10"/>
  <c r="F19" i="10" s="1"/>
  <c r="D18" i="10"/>
  <c r="D19" i="10" s="1"/>
  <c r="B18" i="10"/>
  <c r="B19" i="10" s="1"/>
  <c r="I24" i="10" l="1"/>
  <c r="H24" i="10" s="1"/>
  <c r="I23" i="10"/>
  <c r="G24" i="10"/>
  <c r="F24" i="10" s="1"/>
  <c r="G23" i="10"/>
  <c r="E24" i="10"/>
  <c r="D24" i="10" s="1"/>
  <c r="E23" i="10"/>
  <c r="C24" i="10"/>
  <c r="B24" i="10" s="1"/>
  <c r="C23" i="10"/>
  <c r="C19" i="10"/>
  <c r="E19" i="10"/>
  <c r="G19" i="10"/>
  <c r="I19" i="10"/>
  <c r="C21" i="10"/>
  <c r="E21" i="10"/>
  <c r="G21" i="10"/>
  <c r="I21" i="10"/>
  <c r="C29" i="10"/>
  <c r="E29" i="10"/>
  <c r="G29" i="10"/>
  <c r="I29" i="10"/>
  <c r="C32" i="10"/>
  <c r="E32" i="10"/>
  <c r="G32" i="10"/>
  <c r="I32" i="10"/>
  <c r="C35" i="10"/>
  <c r="E35" i="10"/>
  <c r="G35" i="10"/>
  <c r="I35" i="10"/>
  <c r="H25" i="6"/>
  <c r="F25" i="6"/>
  <c r="D25" i="6"/>
  <c r="B25" i="6"/>
  <c r="H26" i="1"/>
  <c r="F26" i="1"/>
  <c r="D26" i="1"/>
  <c r="B26" i="1"/>
  <c r="G32" i="6"/>
  <c r="I32" i="6"/>
  <c r="H33" i="6"/>
  <c r="D33" i="6"/>
  <c r="E32" i="6"/>
  <c r="F33" i="6"/>
  <c r="C33" i="1"/>
  <c r="I33" i="10" l="1"/>
  <c r="H33" i="10" s="1"/>
  <c r="B23" i="10"/>
  <c r="C33" i="10"/>
  <c r="D23" i="10"/>
  <c r="E33" i="10"/>
  <c r="F23" i="10"/>
  <c r="G33" i="10"/>
  <c r="H23" i="10"/>
  <c r="H32" i="10"/>
  <c r="F32" i="10"/>
  <c r="D32" i="10"/>
  <c r="B32" i="10"/>
  <c r="H29" i="10"/>
  <c r="F29" i="10"/>
  <c r="D29" i="10"/>
  <c r="B29" i="10"/>
  <c r="B33" i="10" l="1"/>
  <c r="F33" i="10"/>
  <c r="D33" i="10"/>
  <c r="H35" i="1" l="1"/>
  <c r="F35" i="1"/>
  <c r="D35" i="1"/>
  <c r="I34" i="1"/>
  <c r="I33" i="1"/>
  <c r="G34" i="1"/>
  <c r="G33" i="1"/>
  <c r="E34" i="1"/>
  <c r="E33" i="1"/>
  <c r="C34" i="1"/>
  <c r="I24" i="1" l="1"/>
  <c r="H24" i="1"/>
  <c r="G24" i="1"/>
  <c r="F24" i="1"/>
  <c r="E24" i="1"/>
  <c r="D24" i="1"/>
  <c r="C24" i="1"/>
  <c r="B24" i="1"/>
  <c r="I54" i="9" l="1"/>
  <c r="G54" i="9"/>
  <c r="E54" i="9"/>
  <c r="C54" i="9"/>
  <c r="I50" i="9"/>
  <c r="H50" i="9"/>
  <c r="G50" i="9"/>
  <c r="F50" i="9"/>
  <c r="E50" i="9"/>
  <c r="D50" i="9"/>
  <c r="C50" i="9"/>
  <c r="B50" i="9"/>
  <c r="I49" i="9"/>
  <c r="H49" i="9"/>
  <c r="G49" i="9"/>
  <c r="F49" i="9"/>
  <c r="E49" i="9"/>
  <c r="D49" i="9"/>
  <c r="C49" i="9"/>
  <c r="B49" i="9"/>
  <c r="I48" i="9"/>
  <c r="H48" i="9"/>
  <c r="G48" i="9"/>
  <c r="F48" i="9"/>
  <c r="E48" i="9"/>
  <c r="D48" i="9"/>
  <c r="C48" i="9"/>
  <c r="B48" i="9"/>
  <c r="I47" i="9"/>
  <c r="H47" i="9"/>
  <c r="G47" i="9"/>
  <c r="F47" i="9"/>
  <c r="E47" i="9"/>
  <c r="D47" i="9"/>
  <c r="C47" i="9"/>
  <c r="B47" i="9"/>
  <c r="I46" i="9"/>
  <c r="H46" i="9"/>
  <c r="G46" i="9"/>
  <c r="F46" i="9"/>
  <c r="E46" i="9"/>
  <c r="D46" i="9"/>
  <c r="C46" i="9"/>
  <c r="B46" i="9"/>
  <c r="I45" i="9"/>
  <c r="H45" i="9" s="1"/>
  <c r="G45" i="9"/>
  <c r="F45" i="9" s="1"/>
  <c r="E45" i="9"/>
  <c r="D45" i="9" s="1"/>
  <c r="C45" i="9"/>
  <c r="B45" i="9" s="1"/>
  <c r="I44" i="9"/>
  <c r="H44" i="9" s="1"/>
  <c r="G44" i="9"/>
  <c r="F44" i="9" s="1"/>
  <c r="E44" i="9"/>
  <c r="D44" i="9" s="1"/>
  <c r="C44" i="9"/>
  <c r="B44" i="9" s="1"/>
  <c r="I53" i="9"/>
  <c r="I52" i="9"/>
  <c r="G53" i="9"/>
  <c r="G52" i="9"/>
  <c r="E53" i="9"/>
  <c r="E52" i="9"/>
  <c r="C53" i="9"/>
  <c r="C52" i="9"/>
  <c r="I51" i="9"/>
  <c r="G51" i="9"/>
  <c r="E51" i="9"/>
  <c r="C51" i="9"/>
  <c r="G53" i="1"/>
  <c r="E53" i="1"/>
  <c r="C53" i="1"/>
  <c r="I50" i="1"/>
  <c r="G50" i="1"/>
  <c r="E50" i="1"/>
  <c r="C50" i="1"/>
  <c r="I48" i="6"/>
  <c r="G48" i="6"/>
  <c r="E48" i="6"/>
  <c r="C48" i="6"/>
  <c r="I74" i="9" l="1"/>
  <c r="G74" i="9"/>
  <c r="E74" i="9"/>
  <c r="C74" i="9"/>
  <c r="I42" i="9" l="1"/>
  <c r="G41" i="9"/>
  <c r="E40" i="9"/>
  <c r="C39" i="9"/>
  <c r="I37" i="9"/>
  <c r="G36" i="9"/>
  <c r="E35" i="9"/>
  <c r="C34" i="9"/>
  <c r="C68" i="7" l="1"/>
  <c r="I50" i="6" l="1"/>
  <c r="G50" i="6"/>
  <c r="E50" i="6"/>
  <c r="C50" i="6"/>
  <c r="I49" i="6"/>
  <c r="G49" i="6"/>
  <c r="E49" i="6"/>
  <c r="C49" i="6"/>
  <c r="H48" i="6"/>
  <c r="I47" i="6"/>
  <c r="H47" i="6"/>
  <c r="G47" i="6"/>
  <c r="F47" i="6"/>
  <c r="E47" i="6"/>
  <c r="D47" i="6"/>
  <c r="C47" i="6"/>
  <c r="B47" i="6"/>
  <c r="I46" i="6"/>
  <c r="H46" i="6"/>
  <c r="G46" i="6"/>
  <c r="F46" i="6"/>
  <c r="E46" i="6"/>
  <c r="D46" i="6"/>
  <c r="C46" i="6"/>
  <c r="B46" i="6"/>
  <c r="I45" i="6"/>
  <c r="H45" i="6"/>
  <c r="G45" i="6"/>
  <c r="F45" i="6"/>
  <c r="E45" i="6"/>
  <c r="D45" i="6"/>
  <c r="C45" i="6"/>
  <c r="B45" i="6"/>
  <c r="I43" i="6"/>
  <c r="G42" i="6"/>
  <c r="E41" i="6"/>
  <c r="C40" i="6"/>
  <c r="I38" i="6"/>
  <c r="G37" i="6"/>
  <c r="E36" i="6"/>
  <c r="I52" i="1"/>
  <c r="G52" i="1"/>
  <c r="E52" i="1"/>
  <c r="I51" i="1"/>
  <c r="G51" i="1"/>
  <c r="E51" i="1"/>
  <c r="C51" i="1"/>
  <c r="D50" i="1"/>
  <c r="I49" i="1"/>
  <c r="H49" i="1"/>
  <c r="G49" i="1"/>
  <c r="F49" i="1"/>
  <c r="E49" i="1"/>
  <c r="D49" i="1"/>
  <c r="C49" i="1"/>
  <c r="I48" i="1"/>
  <c r="H48" i="1"/>
  <c r="G48" i="1"/>
  <c r="F48" i="1"/>
  <c r="E48" i="1"/>
  <c r="D48" i="1"/>
  <c r="C48" i="1"/>
  <c r="I47" i="1"/>
  <c r="H47" i="1"/>
  <c r="G47" i="1"/>
  <c r="F47" i="1"/>
  <c r="E47" i="1"/>
  <c r="D47" i="1"/>
  <c r="C47" i="1"/>
  <c r="B49" i="1"/>
  <c r="B48" i="1"/>
  <c r="I29" i="7"/>
  <c r="G29" i="7"/>
  <c r="E29" i="7"/>
  <c r="I30" i="9"/>
  <c r="G30" i="9"/>
  <c r="I31" i="9"/>
  <c r="I75" i="9" s="1"/>
  <c r="G31" i="9"/>
  <c r="G32" i="9" s="1"/>
  <c r="E31" i="9"/>
  <c r="D31" i="9" s="1"/>
  <c r="C31" i="9"/>
  <c r="C32" i="9" s="1"/>
  <c r="I29" i="9"/>
  <c r="I72" i="9" s="1"/>
  <c r="G29" i="9"/>
  <c r="G72" i="9" s="1"/>
  <c r="I38" i="7"/>
  <c r="H38" i="7" s="1"/>
  <c r="I104" i="7"/>
  <c r="G38" i="7"/>
  <c r="G104" i="7" s="1"/>
  <c r="E38" i="7"/>
  <c r="E104" i="7" s="1"/>
  <c r="C38" i="7"/>
  <c r="C104" i="7" s="1"/>
  <c r="C65" i="6"/>
  <c r="E30" i="6"/>
  <c r="E65" i="6" s="1"/>
  <c r="I30" i="6"/>
  <c r="I65" i="6" s="1"/>
  <c r="G30" i="6"/>
  <c r="G31" i="6" s="1"/>
  <c r="I31" i="1"/>
  <c r="I67" i="1" s="1"/>
  <c r="G31" i="1"/>
  <c r="G67" i="1" s="1"/>
  <c r="E31" i="1"/>
  <c r="E67" i="1" s="1"/>
  <c r="C31" i="1"/>
  <c r="C67" i="1" s="1"/>
  <c r="C28" i="9"/>
  <c r="F27" i="9"/>
  <c r="G27" i="9" s="1"/>
  <c r="D27" i="9"/>
  <c r="E27" i="9" s="1"/>
  <c r="B27" i="9"/>
  <c r="C27" i="9" s="1"/>
  <c r="B26" i="9"/>
  <c r="C26" i="9" s="1"/>
  <c r="H25" i="9"/>
  <c r="I25" i="9" s="1"/>
  <c r="F25" i="9"/>
  <c r="G25" i="9" s="1"/>
  <c r="D25" i="9"/>
  <c r="E25" i="9" s="1"/>
  <c r="B25" i="9"/>
  <c r="C25" i="9" s="1"/>
  <c r="H23" i="9"/>
  <c r="H24" i="9" s="1"/>
  <c r="F23" i="9"/>
  <c r="G23" i="9" s="1"/>
  <c r="D23" i="9"/>
  <c r="D24" i="9" s="1"/>
  <c r="B23" i="9"/>
  <c r="C23" i="9" s="1"/>
  <c r="H21" i="9"/>
  <c r="I21" i="9" s="1"/>
  <c r="F21" i="9"/>
  <c r="G21" i="9" s="1"/>
  <c r="D21" i="9"/>
  <c r="E21" i="9" s="1"/>
  <c r="B21" i="9"/>
  <c r="C21" i="9" s="1"/>
  <c r="H20" i="9"/>
  <c r="I20" i="9" s="1"/>
  <c r="F20" i="9"/>
  <c r="G20" i="9" s="1"/>
  <c r="D20" i="9"/>
  <c r="E20" i="9" s="1"/>
  <c r="B20" i="9"/>
  <c r="C20" i="9" s="1"/>
  <c r="D26" i="9"/>
  <c r="E26" i="9" s="1"/>
  <c r="B22" i="1"/>
  <c r="D22" i="1"/>
  <c r="F22" i="1"/>
  <c r="I28" i="9"/>
  <c r="G28" i="9"/>
  <c r="E28" i="9"/>
  <c r="H27" i="9"/>
  <c r="I27" i="9" s="1"/>
  <c r="H26" i="9"/>
  <c r="I26" i="9" s="1"/>
  <c r="F26" i="9"/>
  <c r="G26" i="9" s="1"/>
  <c r="G29" i="6"/>
  <c r="F29" i="6" s="1"/>
  <c r="E29" i="6"/>
  <c r="C28" i="1"/>
  <c r="C51" i="7"/>
  <c r="C52" i="7" s="1"/>
  <c r="B51" i="7"/>
  <c r="B52" i="7" s="1"/>
  <c r="D61" i="7"/>
  <c r="B61" i="7"/>
  <c r="B99" i="7"/>
  <c r="B72" i="7"/>
  <c r="I53" i="7"/>
  <c r="I54" i="7" s="1"/>
  <c r="I69" i="7"/>
  <c r="H69" i="7" s="1"/>
  <c r="I68" i="7"/>
  <c r="H68" i="7" s="1"/>
  <c r="I67" i="7"/>
  <c r="I66" i="7"/>
  <c r="I65" i="7"/>
  <c r="I64" i="7"/>
  <c r="I63" i="7"/>
  <c r="I62" i="7"/>
  <c r="I61" i="7"/>
  <c r="H61" i="7"/>
  <c r="I60" i="7"/>
  <c r="H60" i="7"/>
  <c r="I59" i="7"/>
  <c r="H59" i="7"/>
  <c r="I57" i="7"/>
  <c r="I58" i="7" s="1"/>
  <c r="H57" i="7"/>
  <c r="H58" i="7" s="1"/>
  <c r="I55" i="7"/>
  <c r="I56" i="7" s="1"/>
  <c r="H55" i="7"/>
  <c r="H56" i="7" s="1"/>
  <c r="H53" i="7"/>
  <c r="H54" i="7" s="1"/>
  <c r="I51" i="7"/>
  <c r="I52" i="7" s="1"/>
  <c r="H51" i="7"/>
  <c r="H52" i="7" s="1"/>
  <c r="G69" i="7"/>
  <c r="F69" i="7" s="1"/>
  <c r="G68" i="7"/>
  <c r="F68" i="7" s="1"/>
  <c r="G67" i="7"/>
  <c r="G66" i="7"/>
  <c r="G65" i="7"/>
  <c r="G64" i="7"/>
  <c r="G63" i="7"/>
  <c r="G62" i="7"/>
  <c r="G61" i="7"/>
  <c r="F61" i="7"/>
  <c r="G60" i="7"/>
  <c r="F60" i="7"/>
  <c r="G59" i="7"/>
  <c r="F59" i="7"/>
  <c r="G57" i="7"/>
  <c r="G58" i="7" s="1"/>
  <c r="F57" i="7"/>
  <c r="F58" i="7" s="1"/>
  <c r="G55" i="7"/>
  <c r="G56" i="7" s="1"/>
  <c r="F55" i="7"/>
  <c r="F56" i="7" s="1"/>
  <c r="G53" i="7"/>
  <c r="G54" i="7" s="1"/>
  <c r="F53" i="7"/>
  <c r="F54" i="7" s="1"/>
  <c r="G51" i="7"/>
  <c r="G52" i="7" s="1"/>
  <c r="F51" i="7"/>
  <c r="F52" i="7" s="1"/>
  <c r="E69" i="7"/>
  <c r="D69" i="7" s="1"/>
  <c r="E68" i="7"/>
  <c r="D68" i="7" s="1"/>
  <c r="E67" i="7"/>
  <c r="E66" i="7"/>
  <c r="E65" i="7"/>
  <c r="E64" i="7"/>
  <c r="E63" i="7"/>
  <c r="E62" i="7"/>
  <c r="E61" i="7"/>
  <c r="E60" i="7"/>
  <c r="D60" i="7"/>
  <c r="E59" i="7"/>
  <c r="D59" i="7"/>
  <c r="E57" i="7"/>
  <c r="E58" i="7" s="1"/>
  <c r="D57" i="7"/>
  <c r="D58" i="7" s="1"/>
  <c r="E55" i="7"/>
  <c r="E56" i="7" s="1"/>
  <c r="D55" i="7"/>
  <c r="D56" i="7" s="1"/>
  <c r="E53" i="7"/>
  <c r="E54" i="7" s="1"/>
  <c r="D53" i="7"/>
  <c r="D54" i="7" s="1"/>
  <c r="E51" i="7"/>
  <c r="E52" i="7" s="1"/>
  <c r="D51" i="7"/>
  <c r="D52" i="7" s="1"/>
  <c r="C69" i="7"/>
  <c r="C67" i="7"/>
  <c r="C66" i="7"/>
  <c r="C65" i="7"/>
  <c r="C64" i="7"/>
  <c r="C63" i="7"/>
  <c r="C62" i="7"/>
  <c r="C61" i="7"/>
  <c r="C57" i="7"/>
  <c r="C55" i="7"/>
  <c r="C53" i="7"/>
  <c r="C54" i="7" s="1"/>
  <c r="B60" i="7"/>
  <c r="B59" i="7"/>
  <c r="B57" i="7"/>
  <c r="B58" i="7" s="1"/>
  <c r="B55" i="7"/>
  <c r="B56" i="7" s="1"/>
  <c r="B53" i="7"/>
  <c r="B54" i="7" s="1"/>
  <c r="C60" i="7"/>
  <c r="C59" i="7"/>
  <c r="I49" i="7"/>
  <c r="G48" i="7"/>
  <c r="E47" i="7"/>
  <c r="I44" i="7"/>
  <c r="C41" i="7"/>
  <c r="I35" i="7"/>
  <c r="G35" i="7"/>
  <c r="E35" i="7"/>
  <c r="I34" i="7"/>
  <c r="G34" i="7"/>
  <c r="E34" i="7"/>
  <c r="E36" i="7" s="1"/>
  <c r="D36" i="7" s="1"/>
  <c r="C34" i="7"/>
  <c r="C36" i="7" s="1"/>
  <c r="E32" i="7"/>
  <c r="D32" i="7" s="1"/>
  <c r="I32" i="7"/>
  <c r="G32" i="7"/>
  <c r="C32" i="7"/>
  <c r="C33" i="7" s="1"/>
  <c r="D31" i="7"/>
  <c r="E31" i="7" s="1"/>
  <c r="H31" i="7"/>
  <c r="I31" i="7" s="1"/>
  <c r="F30" i="7"/>
  <c r="G30" i="7" s="1"/>
  <c r="H30" i="7"/>
  <c r="I30" i="7" s="1"/>
  <c r="F31" i="7"/>
  <c r="G31" i="7" s="1"/>
  <c r="D30" i="7"/>
  <c r="E30" i="7" s="1"/>
  <c r="B31" i="7"/>
  <c r="C31" i="7" s="1"/>
  <c r="B30" i="7"/>
  <c r="C30" i="7" s="1"/>
  <c r="H26" i="7"/>
  <c r="F26" i="7"/>
  <c r="D26" i="7"/>
  <c r="B26" i="7"/>
  <c r="I24" i="7"/>
  <c r="H24" i="7" s="1"/>
  <c r="G24" i="7"/>
  <c r="F24" i="7" s="1"/>
  <c r="E24" i="7"/>
  <c r="D24" i="7" s="1"/>
  <c r="C24" i="7"/>
  <c r="E22" i="7"/>
  <c r="I22" i="7"/>
  <c r="H22" i="7" s="1"/>
  <c r="H23" i="7" s="1"/>
  <c r="G22" i="7"/>
  <c r="C22" i="7"/>
  <c r="B22" i="7" s="1"/>
  <c r="B23" i="7" s="1"/>
  <c r="C35" i="7"/>
  <c r="F48" i="6"/>
  <c r="E25" i="6"/>
  <c r="G23" i="6"/>
  <c r="I26" i="6"/>
  <c r="I25" i="6"/>
  <c r="I24" i="6"/>
  <c r="H24" i="6"/>
  <c r="I23" i="6"/>
  <c r="H23" i="6"/>
  <c r="H22" i="6"/>
  <c r="I22" i="6" s="1"/>
  <c r="H21" i="6"/>
  <c r="H20" i="6"/>
  <c r="I20" i="6" s="1"/>
  <c r="I29" i="6" s="1"/>
  <c r="I64" i="6" s="1"/>
  <c r="G26" i="6"/>
  <c r="G25" i="6"/>
  <c r="G24" i="6"/>
  <c r="F24" i="6"/>
  <c r="F23" i="6"/>
  <c r="F22" i="6"/>
  <c r="G22" i="6" s="1"/>
  <c r="F21" i="6"/>
  <c r="G21" i="6" s="1"/>
  <c r="F20" i="6"/>
  <c r="G20" i="6" s="1"/>
  <c r="E26" i="6"/>
  <c r="E24" i="6"/>
  <c r="E28" i="6" s="1"/>
  <c r="D24" i="6"/>
  <c r="E23" i="6"/>
  <c r="D23" i="6"/>
  <c r="D22" i="6"/>
  <c r="E22" i="6" s="1"/>
  <c r="D21" i="6"/>
  <c r="E21" i="6" s="1"/>
  <c r="D20" i="6"/>
  <c r="E20" i="6" s="1"/>
  <c r="B24" i="6"/>
  <c r="B23" i="6"/>
  <c r="B22" i="6"/>
  <c r="B21" i="6"/>
  <c r="I27" i="1"/>
  <c r="I26" i="1"/>
  <c r="I25" i="1"/>
  <c r="H25" i="1"/>
  <c r="H23" i="1"/>
  <c r="I23" i="1" s="1"/>
  <c r="H22" i="1"/>
  <c r="H21" i="1"/>
  <c r="I21" i="1" s="1"/>
  <c r="H20" i="1"/>
  <c r="I20" i="1" s="1"/>
  <c r="I30" i="1" s="1"/>
  <c r="I66" i="1" s="1"/>
  <c r="G27" i="1"/>
  <c r="G26" i="1"/>
  <c r="G25" i="1"/>
  <c r="F25" i="1"/>
  <c r="F23" i="1"/>
  <c r="G23" i="1" s="1"/>
  <c r="F21" i="1"/>
  <c r="G21" i="1" s="1"/>
  <c r="F20" i="1"/>
  <c r="G20" i="1" s="1"/>
  <c r="G30" i="1" s="1"/>
  <c r="B50" i="1"/>
  <c r="E27" i="1"/>
  <c r="E26" i="1"/>
  <c r="D25" i="1"/>
  <c r="E25" i="1"/>
  <c r="D23" i="1"/>
  <c r="E23" i="1" s="1"/>
  <c r="D21" i="1"/>
  <c r="E21" i="1" s="1"/>
  <c r="D20" i="1"/>
  <c r="E20" i="1" s="1"/>
  <c r="E30" i="1" s="1"/>
  <c r="C27" i="1"/>
  <c r="C26" i="1"/>
  <c r="C25" i="1"/>
  <c r="C29" i="1" s="1"/>
  <c r="B25" i="1"/>
  <c r="B23" i="1"/>
  <c r="C23" i="1" s="1"/>
  <c r="B21" i="1"/>
  <c r="C21" i="1" s="1"/>
  <c r="C20" i="1"/>
  <c r="A20" i="5"/>
  <c r="A21" i="5" s="1"/>
  <c r="A22" i="5" s="1"/>
  <c r="A23" i="5" s="1"/>
  <c r="A24" i="5" s="1"/>
  <c r="A25" i="5" s="1"/>
  <c r="A26" i="5" s="1"/>
  <c r="A27" i="5" s="1"/>
  <c r="A28" i="5" s="1"/>
  <c r="H34" i="7"/>
  <c r="G103" i="7"/>
  <c r="B68" i="7"/>
  <c r="B48" i="6"/>
  <c r="E23" i="9"/>
  <c r="E30" i="9"/>
  <c r="D30" i="9" s="1"/>
  <c r="E103" i="7"/>
  <c r="F38" i="7"/>
  <c r="C103" i="7"/>
  <c r="I103" i="7"/>
  <c r="I31" i="6"/>
  <c r="I66" i="6" s="1"/>
  <c r="B58" i="6"/>
  <c r="F50" i="1"/>
  <c r="C30" i="9"/>
  <c r="C73" i="9" s="1"/>
  <c r="E29" i="9"/>
  <c r="D29" i="9" s="1"/>
  <c r="C28" i="7"/>
  <c r="B29" i="7"/>
  <c r="C25" i="7" l="1"/>
  <c r="B24" i="7"/>
  <c r="B25" i="7" s="1"/>
  <c r="B24" i="9"/>
  <c r="B22" i="9"/>
  <c r="I23" i="7"/>
  <c r="C101" i="7"/>
  <c r="B38" i="7"/>
  <c r="I39" i="7"/>
  <c r="I105" i="7" s="1"/>
  <c r="C23" i="7"/>
  <c r="G39" i="7"/>
  <c r="G105" i="7" s="1"/>
  <c r="C39" i="7"/>
  <c r="C105" i="7" s="1"/>
  <c r="B28" i="7"/>
  <c r="H22" i="9"/>
  <c r="F24" i="9"/>
  <c r="F22" i="9"/>
  <c r="I21" i="6"/>
  <c r="G28" i="6"/>
  <c r="H30" i="6"/>
  <c r="G66" i="6"/>
  <c r="G65" i="6"/>
  <c r="E72" i="9"/>
  <c r="I28" i="6"/>
  <c r="I63" i="6" s="1"/>
  <c r="E31" i="6"/>
  <c r="B69" i="7"/>
  <c r="F31" i="9"/>
  <c r="F30" i="6"/>
  <c r="D22" i="9"/>
  <c r="H29" i="6"/>
  <c r="G36" i="7"/>
  <c r="F36" i="7" s="1"/>
  <c r="F25" i="7"/>
  <c r="D30" i="6"/>
  <c r="F31" i="1"/>
  <c r="I23" i="9"/>
  <c r="H32" i="7"/>
  <c r="C37" i="7"/>
  <c r="I33" i="7"/>
  <c r="H33" i="7" s="1"/>
  <c r="I36" i="7"/>
  <c r="H36" i="7" s="1"/>
  <c r="D28" i="6"/>
  <c r="G64" i="6"/>
  <c r="G63" i="6"/>
  <c r="H31" i="1"/>
  <c r="C63" i="6"/>
  <c r="B30" i="6"/>
  <c r="E24" i="9"/>
  <c r="E29" i="1"/>
  <c r="D29" i="1" s="1"/>
  <c r="G29" i="1"/>
  <c r="G65" i="1" s="1"/>
  <c r="I29" i="1"/>
  <c r="H29" i="1" s="1"/>
  <c r="C22" i="9"/>
  <c r="E22" i="9"/>
  <c r="I22" i="9"/>
  <c r="C30" i="1"/>
  <c r="C66" i="1" s="1"/>
  <c r="I32" i="1"/>
  <c r="C56" i="7"/>
  <c r="B33" i="7"/>
  <c r="B36" i="7"/>
  <c r="B27" i="7"/>
  <c r="E101" i="7"/>
  <c r="B32" i="7"/>
  <c r="E33" i="7"/>
  <c r="D38" i="7"/>
  <c r="B34" i="7"/>
  <c r="F32" i="7"/>
  <c r="G33" i="7"/>
  <c r="D34" i="7"/>
  <c r="F34" i="7"/>
  <c r="E39" i="7"/>
  <c r="I25" i="7"/>
  <c r="C58" i="7"/>
  <c r="H30" i="1"/>
  <c r="I22" i="1"/>
  <c r="G22" i="1"/>
  <c r="E22" i="1"/>
  <c r="G32" i="1"/>
  <c r="D31" i="1"/>
  <c r="E32" i="1"/>
  <c r="C32" i="1"/>
  <c r="C68" i="1" s="1"/>
  <c r="C22" i="1"/>
  <c r="C65" i="1"/>
  <c r="B29" i="1"/>
  <c r="B31" i="1"/>
  <c r="G23" i="7"/>
  <c r="E23" i="7"/>
  <c r="D25" i="7"/>
  <c r="C29" i="9"/>
  <c r="D48" i="6"/>
  <c r="H50" i="1"/>
  <c r="H25" i="7"/>
  <c r="E63" i="6"/>
  <c r="D29" i="6"/>
  <c r="E64" i="6"/>
  <c r="G75" i="9"/>
  <c r="F22" i="7"/>
  <c r="F23" i="7" s="1"/>
  <c r="E73" i="9"/>
  <c r="B30" i="9"/>
  <c r="B60" i="1"/>
  <c r="D22" i="7"/>
  <c r="D23" i="7" s="1"/>
  <c r="E25" i="7"/>
  <c r="G25" i="7"/>
  <c r="G76" i="9"/>
  <c r="C24" i="9"/>
  <c r="G24" i="9"/>
  <c r="I73" i="9"/>
  <c r="H30" i="9"/>
  <c r="H31" i="9"/>
  <c r="I32" i="9"/>
  <c r="G73" i="9"/>
  <c r="E75" i="9"/>
  <c r="G22" i="9"/>
  <c r="H29" i="9"/>
  <c r="C76" i="9"/>
  <c r="B31" i="9"/>
  <c r="F30" i="9"/>
  <c r="F29" i="9"/>
  <c r="C75" i="9"/>
  <c r="E32" i="9"/>
  <c r="E28" i="7"/>
  <c r="E27" i="7"/>
  <c r="D29" i="7"/>
  <c r="G28" i="7"/>
  <c r="G27" i="7"/>
  <c r="F29" i="7"/>
  <c r="I28" i="7"/>
  <c r="I27" i="7"/>
  <c r="H29" i="7"/>
  <c r="I101" i="7" l="1"/>
  <c r="G101" i="7"/>
  <c r="F28" i="6"/>
  <c r="B37" i="7"/>
  <c r="I65" i="1"/>
  <c r="E66" i="6"/>
  <c r="B29" i="6"/>
  <c r="H28" i="6"/>
  <c r="C102" i="7"/>
  <c r="F29" i="1"/>
  <c r="I24" i="9"/>
  <c r="C64" i="6"/>
  <c r="E65" i="1"/>
  <c r="B28" i="6"/>
  <c r="C66" i="6"/>
  <c r="I68" i="1"/>
  <c r="D33" i="7"/>
  <c r="E105" i="7"/>
  <c r="F33" i="7"/>
  <c r="D30" i="1"/>
  <c r="F30" i="1"/>
  <c r="G66" i="1"/>
  <c r="G68" i="1"/>
  <c r="E68" i="1"/>
  <c r="E66" i="1"/>
  <c r="B30" i="1"/>
  <c r="B29" i="9"/>
  <c r="C72" i="9"/>
  <c r="I76" i="9"/>
  <c r="E76" i="9"/>
  <c r="H27" i="7"/>
  <c r="I37" i="7"/>
  <c r="H28" i="7"/>
  <c r="F27" i="7"/>
  <c r="G37" i="7"/>
  <c r="F28" i="7"/>
  <c r="D27" i="7"/>
  <c r="E37" i="7"/>
  <c r="D28" i="7"/>
  <c r="D37" i="7" l="1"/>
  <c r="E102" i="7"/>
  <c r="G102" i="7"/>
  <c r="F37" i="7"/>
  <c r="H37" i="7"/>
  <c r="I102" i="7"/>
</calcChain>
</file>

<file path=xl/sharedStrings.xml><?xml version="1.0" encoding="utf-8"?>
<sst xmlns="http://schemas.openxmlformats.org/spreadsheetml/2006/main" count="1223" uniqueCount="303">
  <si>
    <r>
      <rPr>
        <b/>
        <sz val="10"/>
        <rFont val="Arial"/>
        <family val="2"/>
        <charset val="204"/>
      </rPr>
      <t xml:space="preserve">Сторона </t>
    </r>
    <r>
      <rPr>
        <b/>
        <sz val="10"/>
        <color indexed="60"/>
        <rFont val="Arial"/>
        <family val="2"/>
        <charset val="204"/>
      </rPr>
      <t>№1</t>
    </r>
  </si>
  <si>
    <r>
      <rPr>
        <b/>
        <sz val="10"/>
        <rFont val="Arial"/>
        <family val="2"/>
        <charset val="204"/>
      </rPr>
      <t xml:space="preserve">Сторона </t>
    </r>
    <r>
      <rPr>
        <b/>
        <sz val="10"/>
        <color indexed="60"/>
        <rFont val="Arial"/>
        <family val="2"/>
        <charset val="204"/>
      </rPr>
      <t>№2</t>
    </r>
  </si>
  <si>
    <r>
      <rPr>
        <b/>
        <sz val="10"/>
        <rFont val="Arial"/>
        <family val="2"/>
        <charset val="204"/>
      </rPr>
      <t xml:space="preserve">Сторона </t>
    </r>
    <r>
      <rPr>
        <b/>
        <sz val="10"/>
        <color indexed="60"/>
        <rFont val="Arial"/>
        <family val="2"/>
        <charset val="204"/>
      </rPr>
      <t>№3</t>
    </r>
  </si>
  <si>
    <r>
      <rPr>
        <b/>
        <sz val="10"/>
        <rFont val="Arial"/>
        <family val="2"/>
        <charset val="204"/>
      </rPr>
      <t xml:space="preserve">Сторона </t>
    </r>
    <r>
      <rPr>
        <b/>
        <sz val="10"/>
        <color indexed="60"/>
        <rFont val="Arial"/>
        <family val="2"/>
        <charset val="204"/>
      </rPr>
      <t>№4</t>
    </r>
  </si>
  <si>
    <t>Декоративная накладка</t>
  </si>
  <si>
    <t>Крепежная планка</t>
  </si>
  <si>
    <t>Размер</t>
  </si>
  <si>
    <t>Кол-во</t>
  </si>
  <si>
    <t xml:space="preserve">Декоративная накладка угловая </t>
  </si>
  <si>
    <t xml:space="preserve">Шаблон (для монтажа) 2шт/1заказ </t>
  </si>
  <si>
    <t>-</t>
  </si>
  <si>
    <t xml:space="preserve">Стойки </t>
  </si>
  <si>
    <t>Саморезы</t>
  </si>
  <si>
    <t>Саморезы ПШ</t>
  </si>
  <si>
    <t>4,2x16</t>
  </si>
  <si>
    <t>Калитки</t>
  </si>
  <si>
    <t>Калитка 1,68х1</t>
  </si>
  <si>
    <t>Калитка 2,0х1</t>
  </si>
  <si>
    <t>Ворота</t>
  </si>
  <si>
    <t>Распашные 1,68х3,6</t>
  </si>
  <si>
    <t>Распашные 2,0х3,6</t>
  </si>
  <si>
    <t>Откатные 1,68х3,5</t>
  </si>
  <si>
    <t>Откатные 1,68х4,0</t>
  </si>
  <si>
    <t>Откатные 1,68х4,5</t>
  </si>
  <si>
    <t>Откатные 2,0х3,5</t>
  </si>
  <si>
    <t>Откатные 2,0х4,0</t>
  </si>
  <si>
    <t>Откатные 2,0х4,5</t>
  </si>
  <si>
    <t>Откатные на кирпич столб 1,68х3,5</t>
  </si>
  <si>
    <t>Откатные на кирпич столб 1,68х4,0</t>
  </si>
  <si>
    <t>Откатные на кирпич столб 1,68х4,5</t>
  </si>
  <si>
    <t>Сторона забора</t>
  </si>
  <si>
    <t>Откатные на кирпич столб 2,0х3,5</t>
  </si>
  <si>
    <t>№1</t>
  </si>
  <si>
    <t>№2</t>
  </si>
  <si>
    <t>№3</t>
  </si>
  <si>
    <t>№4</t>
  </si>
  <si>
    <t>Откатные на кирпич столб 2,0х4,0</t>
  </si>
  <si>
    <t>Откатные на кирпич столб 2,0х4,5</t>
  </si>
  <si>
    <t>Ширина между столбов, м (от 0,5 до 3 м, с шагом 1 см), м</t>
  </si>
  <si>
    <t>Заполнение калиток</t>
  </si>
  <si>
    <t>Кол-во секций, шт</t>
  </si>
  <si>
    <r>
      <t>Количество углов 90</t>
    </r>
    <r>
      <rPr>
        <vertAlign val="superscript"/>
        <sz val="10"/>
        <rFont val="Arial"/>
        <family val="2"/>
        <charset val="204"/>
      </rPr>
      <t>о</t>
    </r>
  </si>
  <si>
    <r>
      <t>Количеств углов отличающихся от 90</t>
    </r>
    <r>
      <rPr>
        <vertAlign val="superscript"/>
        <sz val="10"/>
        <rFont val="Arial"/>
        <family val="2"/>
        <charset val="204"/>
      </rPr>
      <t>о</t>
    </r>
  </si>
  <si>
    <t xml:space="preserve">Крышки 65х60 </t>
  </si>
  <si>
    <t>Кирпичные столбы</t>
  </si>
  <si>
    <t>нет</t>
  </si>
  <si>
    <t>Нащельник 1,68</t>
  </si>
  <si>
    <t>Ворота Жалюзи</t>
  </si>
  <si>
    <t>Нащельник 2,0</t>
  </si>
  <si>
    <t>Заполнение ворот</t>
  </si>
  <si>
    <t>Если геометрия забора подразумевает наличие углов, отличных от 90 градусов, для каждого такого угла - необходим дополнительный столб (калькулятор считает, добавлять вручную не нужно)</t>
  </si>
  <si>
    <t>Максимально возможная длина крышки 60х40 – 3 м. Для ламелей длиной более 2,87 метров – используется крышка длиной 3м и будут необходимы заглушки для столба.</t>
  </si>
  <si>
    <t>Дюбель-U 10х61 (полипропилен)</t>
  </si>
  <si>
    <t>Комплект ворот и калиток:
Ворота: 2 створки, 2 столба, регулируемые петли (угол открывания 180°), замок Locinox, ответная планка, 2 ригеля Locinox.
Калитка: 1 створка, 2 столба, регулируемые петли (угол открывания 180°), ответная планка, замок Locinox.
В комплект ворот заполнение не входит. 
Комплект откатных ворот 
1. Рама ворот составная без заполнения для удобства транспортировки.
2. 2 опорных столба П-образных 60*60.
3. Роликовая система (Alutech для откатных ворот), в которую входят опоры роликовые 2шт, шина направляющая, ролик опорный, улавливатель нижний, улавливатель верхний, шина с поддерживающими роликами, подставка для роликовых опор 2шт, заглушка балки торцевая, анкерные болты.
В комплект ворот заполнение не входит (приобретается отдельно) 
Комплект откатных ворот на готовые столбы 
1. Рама ворот составная без заполнения для удобства транспортировки.
2. Кронштейн крепления нижнего и верхнего ловителей - 2шт, Кронштейн крепления поддерживающих роликов - 1 шт.
3. Роликовая система (Alutech для откатных ворот), в которую входят опоры роликовые 2шт, шина направляющая, ролик опорный, улавливатель нижний, улавливатель верхний, шина с поддерживающими роликами, подставка для роликовых опор 2шт, заглушка балки торцевая, анкерные болты.
Отдельно приобретать кронштейны для кирпичных столбов не нужно (входит в п.2 комплекта)
В комплект ворот заполнение не входит (приобретается отдельно)</t>
  </si>
  <si>
    <t>Возможная высота</t>
  </si>
  <si>
    <t>Калитки Жалюзи</t>
  </si>
  <si>
    <t xml:space="preserve">Ламели размер </t>
  </si>
  <si>
    <t>Стойки размер</t>
  </si>
  <si>
    <t>Крышки 65х60 размер</t>
  </si>
  <si>
    <t>Ламель лицевая 125</t>
  </si>
  <si>
    <t>Ламель обратная 125</t>
  </si>
  <si>
    <t>Ламель лицевая 150</t>
  </si>
  <si>
    <t>Ламель обратная 150</t>
  </si>
  <si>
    <t>Крышка 30х15</t>
  </si>
  <si>
    <t>Крышка 30х20</t>
  </si>
  <si>
    <t>Стойка</t>
  </si>
  <si>
    <t>Зазор между планками</t>
  </si>
  <si>
    <t>Саморезы ПШС</t>
  </si>
  <si>
    <t>Вид забора (ширина ламелей)</t>
  </si>
  <si>
    <t>Величина свободного зазора между ламелями*</t>
  </si>
  <si>
    <t>Высота, м</t>
  </si>
  <si>
    <t>Кол-во ламелей 125</t>
  </si>
  <si>
    <t>Зазор  125</t>
  </si>
  <si>
    <t>Кол-во ламелей 150</t>
  </si>
  <si>
    <t>Зазор 150</t>
  </si>
  <si>
    <t>зазор меньше</t>
  </si>
  <si>
    <t>зазор  больше</t>
  </si>
  <si>
    <t>Стойка (для калиток и ворот)</t>
  </si>
  <si>
    <t>Калитка 1,5х1</t>
  </si>
  <si>
    <t>Калитка 1,8х1</t>
  </si>
  <si>
    <t>Tokyo</t>
  </si>
  <si>
    <t>кол-во</t>
  </si>
  <si>
    <t xml:space="preserve">Крышка 65х40 </t>
  </si>
  <si>
    <t>Столб 62х55</t>
  </si>
  <si>
    <t>Ограждения жалюзи</t>
  </si>
  <si>
    <t>Ворота Texas</t>
  </si>
  <si>
    <t>Калитки Texas</t>
  </si>
  <si>
    <t>Нащельник 125 (L 1,5)</t>
  </si>
  <si>
    <t>Нащельник 125 (L 1,8)</t>
  </si>
  <si>
    <t>Нащельник 125 (L 2,0)</t>
  </si>
  <si>
    <t>Нащельник 150 (L 1,5)</t>
  </si>
  <si>
    <t>Нащельник 150 (L 1,8)</t>
  </si>
  <si>
    <t>Нащельник 150 (L 2,0)</t>
  </si>
  <si>
    <t>4,0х10</t>
  </si>
  <si>
    <t>ПШС</t>
  </si>
  <si>
    <t>Распашные 1,5х3,6</t>
  </si>
  <si>
    <t>Распашные 1,8х3,6</t>
  </si>
  <si>
    <t>Откатные 1,5х3,5</t>
  </si>
  <si>
    <t>Откатные 1,5х4,0</t>
  </si>
  <si>
    <t>Откатные 1,5х4,5</t>
  </si>
  <si>
    <t>Откатные 1,8х3,5</t>
  </si>
  <si>
    <t>Откатные 1,8х4,0</t>
  </si>
  <si>
    <t>Откатные 1,8х4,5</t>
  </si>
  <si>
    <t>Откатные на кирпич столб 1,5х3,5</t>
  </si>
  <si>
    <t>Откатные на кирпич столб 1,8х3,5</t>
  </si>
  <si>
    <t>Откатные на кирпич столб 1,5х4,0</t>
  </si>
  <si>
    <t>Откатные на кирпич столб 1,5х4,5</t>
  </si>
  <si>
    <t>Откатные на кирпич столб 1,8х4,0</t>
  </si>
  <si>
    <t>Откатные на кирпич столб 1,8х4,5</t>
  </si>
  <si>
    <t>Ламель 125</t>
  </si>
  <si>
    <t>Ламель 150</t>
  </si>
  <si>
    <t>Заклепки для ламели 125</t>
  </si>
  <si>
    <t>Заклепки для ламели 150</t>
  </si>
  <si>
    <t>Ламели  Milan</t>
  </si>
  <si>
    <t>Саморезы Milan</t>
  </si>
  <si>
    <t>Саморезы Tokyo</t>
  </si>
  <si>
    <t>Ламели Tokyo</t>
  </si>
  <si>
    <t xml:space="preserve">Планка завершающая 50*50 мм </t>
  </si>
  <si>
    <t>ламель 150</t>
  </si>
  <si>
    <t>Крепежная планка верхняя</t>
  </si>
  <si>
    <t>Крепежная планка нижняя</t>
  </si>
  <si>
    <t>Ограждения жалюзи Milan и Tokyo</t>
  </si>
  <si>
    <t>Ограждения жалюзи Texas</t>
  </si>
  <si>
    <t>Высота секции забора, м</t>
  </si>
  <si>
    <t>Milan</t>
  </si>
  <si>
    <t>Ламель Milan</t>
  </si>
  <si>
    <t>выберите из списка</t>
  </si>
  <si>
    <t>впишите ширину</t>
  </si>
  <si>
    <t>впишите количество</t>
  </si>
  <si>
    <t>Данные для расчета элементов ограждений жалюзи Milan</t>
  </si>
  <si>
    <t>Спецификация ограждений жалюзи Milan</t>
  </si>
  <si>
    <t>Примечания к калькулятору</t>
  </si>
  <si>
    <t>Если линия забора имеет разрыв, то на стартовый/финишный столб вместо 2х декоративных накладкок нужно устанавливать 1 декоративную накладку и 1 декоративную накладку угловую. Калькулятор разрывы не учитывает и считает общее количество простых декоративных накладок, при заказе скорректируйте колличество самостоятельно</t>
  </si>
  <si>
    <t xml:space="preserve">Размер в номенклатуре калиток и ворот не является фактическим размером изделия. При монтаже калиток и ворот необходимо строго соблюсти размеры, указные в инструкции по монтажу либо в чертеже.    </t>
  </si>
  <si>
    <r>
      <t xml:space="preserve">Калькулятор ограждений жалюзи </t>
    </r>
    <r>
      <rPr>
        <b/>
        <sz val="18"/>
        <color indexed="10"/>
        <rFont val="Arial"/>
        <family val="2"/>
        <charset val="204"/>
      </rPr>
      <t>Milan</t>
    </r>
  </si>
  <si>
    <r>
      <t xml:space="preserve">Калькулятор ограждений жалюзи </t>
    </r>
    <r>
      <rPr>
        <b/>
        <sz val="18"/>
        <color indexed="10"/>
        <rFont val="Arial"/>
        <family val="2"/>
        <charset val="204"/>
      </rPr>
      <t>Tokyo</t>
    </r>
  </si>
  <si>
    <t>Данные для расчета элементов ограждений жалюзи Tokyo</t>
  </si>
  <si>
    <t>Калитка жалюзи Milan</t>
  </si>
  <si>
    <t>Ворота жалюзи Milan</t>
  </si>
  <si>
    <t>Калитка жалюзи Tokyo</t>
  </si>
  <si>
    <t>Ворота жалюзи Tokyo</t>
  </si>
  <si>
    <t>Спецификация ограждений жалюзи Tokyo</t>
  </si>
  <si>
    <t>ЛамельTokyo</t>
  </si>
  <si>
    <t xml:space="preserve">Крышка 65х60 </t>
  </si>
  <si>
    <t>Данные для расчета элементов ограждений жалюзи Texas</t>
  </si>
  <si>
    <t>Спецификация ограждений жалюзи Texas</t>
  </si>
  <si>
    <t>размер</t>
  </si>
  <si>
    <t>ламель 125</t>
  </si>
  <si>
    <t>меньше (25-50мм в зависимости от высоты забора)</t>
  </si>
  <si>
    <t>больше (50-80мм в зависимости от высоты забора)</t>
  </si>
  <si>
    <t>Калитка жалюзи Texas</t>
  </si>
  <si>
    <t>Ворота жалюзи Texas</t>
  </si>
  <si>
    <t>* Величину зазора нужно определять только при выборе ламелей шириной 150 мм.
Для ламелей 125 мм выбор величины зазора в таблице данных на расчет не влияет</t>
  </si>
  <si>
    <t>Закплепки</t>
  </si>
  <si>
    <t>Рекомендуем следующие вытоты забора:
          - ламель 125, зазор между ламелями 25 мм, высота секции забора: 1,05 / 1,2 / 1,35 / 1,5 / 1,65 / 1,8 / 1,95 / 2,1 / 2,4 / 2,55 / 2,7 / 2,85 м
          - ламель 150, зазор между ламелями 25 мм, высота секции забора: 1,05 / 1,4 / 1,75 / 2,1 / 2,45 / 2,8 м
          - ламель 150, зазор между ламелями 50 мм, высота секции забора: 1,0 / 1,2 / 1,4 / 1,6 / 1,8 / 2,0 / 2,2 / 2,4 / 2,6 / 2,8 / 3,0 м</t>
  </si>
  <si>
    <t>Если линия забора имеет разрыв, то на стартовый/финишный столб вместо 2х декоративных накладкок нужно устанавливать 2 декоративных накладки угловые. Калькулятор разрывы не учитывает и считает общее количество простых декоративных накладок, при заказе скорректируйте колличество самостоятельно</t>
  </si>
  <si>
    <t>Заклепки</t>
  </si>
  <si>
    <t>Столбы</t>
  </si>
  <si>
    <t>столб 62х55</t>
  </si>
  <si>
    <t>столб 60х60</t>
  </si>
  <si>
    <t>столб 80х80</t>
  </si>
  <si>
    <t>Размер столба</t>
  </si>
  <si>
    <t>Столб</t>
  </si>
  <si>
    <t>Ограждения жалюзи Palermo</t>
  </si>
  <si>
    <t>Ламель Palermo</t>
  </si>
  <si>
    <t>Крышка 50х75</t>
  </si>
  <si>
    <t>Планка опорная составная внешняя</t>
  </si>
  <si>
    <t>Планка опорная составная внутренняя</t>
  </si>
  <si>
    <t>Планка вертикальная лицевая</t>
  </si>
  <si>
    <t>Планка вертикальная обратная</t>
  </si>
  <si>
    <r>
      <t xml:space="preserve">Калькулятор ограждений жалюзи </t>
    </r>
    <r>
      <rPr>
        <b/>
        <sz val="18"/>
        <color indexed="10"/>
        <rFont val="Arial"/>
        <family val="2"/>
        <charset val="204"/>
      </rPr>
      <t>Palermo</t>
    </r>
  </si>
  <si>
    <t>Данные для расчета элементов ограждений жалюзи Palermo</t>
  </si>
  <si>
    <t>Калитка жалюзи Palermo</t>
  </si>
  <si>
    <t>Ворота жалюзи Palermo</t>
  </si>
  <si>
    <t>Спецификация ограждений жалюзи  Palermo</t>
  </si>
  <si>
    <t>Кол-во ламелей</t>
  </si>
  <si>
    <t>высота минус 100мм</t>
  </si>
  <si>
    <t>Шуруп по бетону</t>
  </si>
  <si>
    <t>7,5х52</t>
  </si>
  <si>
    <t>5,5 х 19</t>
  </si>
  <si>
    <t>7,5 х 52</t>
  </si>
  <si>
    <t>4,2 х 16</t>
  </si>
  <si>
    <t>4,2 х 19</t>
  </si>
  <si>
    <r>
      <t>Количество углов отличающихся от 90</t>
    </r>
    <r>
      <rPr>
        <vertAlign val="superscript"/>
        <sz val="10"/>
        <rFont val="Arial"/>
        <family val="2"/>
        <charset val="204"/>
      </rPr>
      <t>о</t>
    </r>
  </si>
  <si>
    <t>Стойка боковая крепежная</t>
  </si>
  <si>
    <t>Калитка 1,68х1,5</t>
  </si>
  <si>
    <t>Калитка 2,0х1,5</t>
  </si>
  <si>
    <t>Калитка 2,5х1</t>
  </si>
  <si>
    <t>Распашные 1,68х4,0</t>
  </si>
  <si>
    <t>Распашные 2,0х4,0</t>
  </si>
  <si>
    <t>Откатные 2,5х4,0</t>
  </si>
  <si>
    <t>Крышка 45х20</t>
  </si>
  <si>
    <t>Ламель лицевая 125 стартовая/финишная (для калиток и ворот)</t>
  </si>
  <si>
    <t>Ламель обратная 125 стартовая/финишная (для калиток и ворот)</t>
  </si>
  <si>
    <t>Ламели  Palermo</t>
  </si>
  <si>
    <t>Планка опорная внутренная</t>
  </si>
  <si>
    <t>Размер планки</t>
  </si>
  <si>
    <t>Планка опорная внешняя</t>
  </si>
  <si>
    <t>Планка опорная внутренняя</t>
  </si>
  <si>
    <t>Нащельник 2,5</t>
  </si>
  <si>
    <t>Использование крепежного вкладыша</t>
  </si>
  <si>
    <t>да</t>
  </si>
  <si>
    <t>Крепежный вкладыш (правый)</t>
  </si>
  <si>
    <t>Крепежный вкладыш (левый)</t>
  </si>
  <si>
    <r>
      <t xml:space="preserve">Использование крепежного вкладыша
</t>
    </r>
    <r>
      <rPr>
        <i/>
        <sz val="10"/>
        <rFont val="Arial"/>
        <family val="2"/>
        <charset val="204"/>
      </rPr>
      <t>(только для высоты секции забора 2,01 м)</t>
    </r>
  </si>
  <si>
    <t>Крепежный вкладыш (универсальный)</t>
  </si>
  <si>
    <r>
      <t xml:space="preserve">Использование крепежного вкладыша
</t>
    </r>
    <r>
      <rPr>
        <i/>
        <sz val="10"/>
        <rFont val="Arial"/>
        <family val="2"/>
        <charset val="204"/>
      </rPr>
      <t>(только для высоты секции забора 2,1 м)</t>
    </r>
  </si>
  <si>
    <t xml:space="preserve">Ламель лицевая 150 стартовая/финишная (для калиток и ворот) </t>
  </si>
  <si>
    <t>Ламель обратная 150 стартовая/финишная (для калиток и ворот)</t>
  </si>
  <si>
    <r>
      <t xml:space="preserve">Калькулятор ограждений жалюзи </t>
    </r>
    <r>
      <rPr>
        <b/>
        <sz val="18"/>
        <color indexed="10"/>
        <rFont val="Arial"/>
        <family val="2"/>
        <charset val="204"/>
      </rPr>
      <t>Texas</t>
    </r>
    <r>
      <rPr>
        <b/>
        <sz val="14"/>
        <color indexed="10"/>
        <rFont val="Arial"/>
        <family val="2"/>
        <charset val="204"/>
      </rPr>
      <t xml:space="preserve"> (крепеж ламелей спомощью саморезов)</t>
    </r>
  </si>
  <si>
    <r>
      <t xml:space="preserve">Калькулятор ограждений жалюзи </t>
    </r>
    <r>
      <rPr>
        <b/>
        <sz val="18"/>
        <color indexed="10"/>
        <rFont val="Arial"/>
        <family val="2"/>
        <charset val="204"/>
      </rPr>
      <t>Texas</t>
    </r>
    <r>
      <rPr>
        <b/>
        <sz val="14"/>
        <color indexed="10"/>
        <rFont val="Arial"/>
        <family val="2"/>
        <charset val="204"/>
      </rPr>
      <t xml:space="preserve"> (крепеж ламелей с помощью крепежного вкладыша)</t>
    </r>
  </si>
  <si>
    <t>вид ламели</t>
  </si>
  <si>
    <t>Вариант монтажа с вкладышем</t>
  </si>
  <si>
    <t>высота секции</t>
  </si>
  <si>
    <t>зазор</t>
  </si>
  <si>
    <t>кол-во ламелей</t>
  </si>
  <si>
    <r>
      <t xml:space="preserve">Высота секции забора, м
</t>
    </r>
    <r>
      <rPr>
        <i/>
        <sz val="10"/>
        <color rgb="FFFF0000"/>
        <rFont val="Arial"/>
        <family val="2"/>
        <charset val="204"/>
      </rPr>
      <t>(высота секции забора ограничена одним размером для каждого вида ламели)</t>
    </r>
  </si>
  <si>
    <t>Крепежный вкладыш 125 (правый)</t>
  </si>
  <si>
    <t>Крепежный вкладыш 125 (левый)</t>
  </si>
  <si>
    <t>Крепежный вкладыш 150 (правый)</t>
  </si>
  <si>
    <t>Крепежный вкладыш 150 (левый)</t>
  </si>
  <si>
    <t>Крепеж</t>
  </si>
  <si>
    <t>Стандартные цвета ворот и калиток жалюзи: RAL 6005, 7024, 8017 (срок изготовления - стандартный).
Нестандартные цвета (по цене стандартных): RAL 3005, RR32 (срок изготовления - уточняйте у менеджера).</t>
  </si>
  <si>
    <t>Рекомендуем столбы 62х55х1,4. При высоте ограждения более 2м требуется расчет ветровой нагрузки на столб. Столб сечением 62х55 не рекомендуется!</t>
  </si>
  <si>
    <t>При ширине секции ограждения более 2,5 м требуется расчет ветровой нагрузки на столб. Столб сечением 62х55 не рекомендуется!</t>
  </si>
  <si>
    <t>Ламель Milan №1</t>
  </si>
  <si>
    <t>Ламель Milan №2</t>
  </si>
  <si>
    <t>Ламели  Milan №2</t>
  </si>
  <si>
    <t>Ламели Tokyo №2</t>
  </si>
  <si>
    <t>Ламели размер  №2</t>
  </si>
  <si>
    <t>Крышки 65х60  №2</t>
  </si>
  <si>
    <t>Крышки 65х60 размер №2</t>
  </si>
  <si>
    <t>Ламели  Milan №1</t>
  </si>
  <si>
    <t>Ламели Tokyo №1</t>
  </si>
  <si>
    <t>Ламели размер  №1</t>
  </si>
  <si>
    <t>Крышки 65х60  №1</t>
  </si>
  <si>
    <t>Крышки 65х60 размер №1</t>
  </si>
  <si>
    <t>ЛамельTokyo №1</t>
  </si>
  <si>
    <t>ЛамельTokyo №2</t>
  </si>
  <si>
    <t>Крышка 65х60 №1</t>
  </si>
  <si>
    <t>Крышка 65х60 №2</t>
  </si>
  <si>
    <t>Откатные 2,0х5,0</t>
  </si>
  <si>
    <t>Откатные 2,0х5,5</t>
  </si>
  <si>
    <t>Откатные 2,0х6,0</t>
  </si>
  <si>
    <t>Рекомендуем столбы 62х55х1,4.При высоте ограждения более 2м требуется расчет ветровой нагрузки на столб. Столб сечением 62х55 не рекомендуется!</t>
  </si>
  <si>
    <t>Ламели  Palermo стартовая/финишная</t>
  </si>
  <si>
    <t>Ламель Palermo стартовая/финишная</t>
  </si>
  <si>
    <t>Ламели  Palermo №1</t>
  </si>
  <si>
    <t>Ламели  Palermo №2</t>
  </si>
  <si>
    <t>Ламели размер №1</t>
  </si>
  <si>
    <t>Ламели размер №2</t>
  </si>
  <si>
    <t>Ламели Palermo стартовая/финишная №1</t>
  </si>
  <si>
    <t>Ламели размер 
стартовая/финишная №1</t>
  </si>
  <si>
    <t>Ламели Palermo стартовая/финишная №2</t>
  </si>
  <si>
    <t>Ламели размер 
стартовая/финишная №2</t>
  </si>
  <si>
    <t>Планка опорная внутренная №1</t>
  </si>
  <si>
    <t>Размер планки №1</t>
  </si>
  <si>
    <t>Планка опорная внешняя №1</t>
  </si>
  <si>
    <t>Планка опорная внутренная №2</t>
  </si>
  <si>
    <t>Размер планки №2</t>
  </si>
  <si>
    <t>Планка опорная внешняя №2</t>
  </si>
  <si>
    <t>Ламель Palermo стартовая/финишная №1</t>
  </si>
  <si>
    <t>Ламель 125 стартовая/финишная</t>
  </si>
  <si>
    <t>Ламель 150 стартовая/финишная</t>
  </si>
  <si>
    <t>Стойка 125 стартовая/финишная</t>
  </si>
  <si>
    <t>Стойка 150 стартовая/финишная</t>
  </si>
  <si>
    <t xml:space="preserve">Ламели размер 
стартовая/финишная </t>
  </si>
  <si>
    <t>Крышка 30х15 №1</t>
  </si>
  <si>
    <t>Крышка 30х20 №1</t>
  </si>
  <si>
    <t>Крышка 30х15 №2</t>
  </si>
  <si>
    <t>Ламель 125 №1</t>
  </si>
  <si>
    <t>Ламель 125 стартовая/финишная  №1</t>
  </si>
  <si>
    <t>Крышка 30х20 №2</t>
  </si>
  <si>
    <t>Ламель 125 №2</t>
  </si>
  <si>
    <t>Ламель 125 стартовая/финишная  №2</t>
  </si>
  <si>
    <t>Ламель 150 №1</t>
  </si>
  <si>
    <t>Ламель 150 стартовая/финишная №1</t>
  </si>
  <si>
    <t>Ламель 150 №2</t>
  </si>
  <si>
    <t>Ламель 150 стартовая/финишная №2</t>
  </si>
  <si>
    <t>Ламель лицевая 125 №2</t>
  </si>
  <si>
    <t>Ламель обратная 125 №2</t>
  </si>
  <si>
    <t>Ламель лицевая 125 №1</t>
  </si>
  <si>
    <t>Ламель обратная 125 №1</t>
  </si>
  <si>
    <t>Ламель лицевая 125 стартовая/финишная №1</t>
  </si>
  <si>
    <t>Ламель обратная 125 стартовая/финишная №1</t>
  </si>
  <si>
    <t>Ламель лицевая 125 стартовая/финишная №2</t>
  </si>
  <si>
    <t>Ламель обратная 125 стартовая/финишная №2</t>
  </si>
  <si>
    <t>Ламель лицевая 150 №1</t>
  </si>
  <si>
    <t>Ламель обратная 150 №1</t>
  </si>
  <si>
    <t>Ламель лицевая 150 №2</t>
  </si>
  <si>
    <t>Ламель обратная 150 №2</t>
  </si>
  <si>
    <t>Ламель лицевая 150 стартовая/финишная №1</t>
  </si>
  <si>
    <t>Ламель обратная 150 стартовая/финишная №1</t>
  </si>
  <si>
    <t>Ламель лицевая 150 стартовая/финишная №2</t>
  </si>
  <si>
    <t>Ламель обратная 150 стартовая/финишная №2</t>
  </si>
  <si>
    <t>Планка опорная внутренняя №1</t>
  </si>
  <si>
    <t>Ламели Palermo №2</t>
  </si>
  <si>
    <t>Ламель Palermo №1</t>
  </si>
  <si>
    <t>Откатные на кирпич столб 2,0х5,0</t>
  </si>
  <si>
    <t>Откатные на кирпич столб 2,0х5,5</t>
  </si>
  <si>
    <t>Откатные на кирпич столб 2,0х6,0</t>
  </si>
  <si>
    <t>Шуруп по бетону (379358, 330611)</t>
  </si>
  <si>
    <t>Дюбель-U 10х61 полипропилен (303573)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</si>
</sst>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"/>
  </numFmts>
  <fonts count="31" x14ac:knownFonts="1">
    <font>
      <sz val="11"/>
      <color theme="1"/>
      <name val="Calibri"/>
      <family val="2"/>
      <charset val="204"/>
      <scheme val="minor"/>
    </font>
    <font>
      <u/>
      <sz val="10"/>
      <color indexed="12"/>
      <name val="Arial Cyr"/>
      <family val="2"/>
      <charset val="204"/>
    </font>
    <font>
      <u/>
      <sz val="10"/>
      <color indexed="12"/>
      <name val="Arial"/>
      <family val="2"/>
      <charset val="204"/>
    </font>
    <font>
      <sz val="10"/>
      <name val="Arial"/>
      <family val="2"/>
      <charset val="204"/>
    </font>
    <font>
      <sz val="10"/>
      <color indexed="9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sz val="10"/>
      <color indexed="60"/>
      <name val="Arial"/>
      <family val="2"/>
      <charset val="204"/>
    </font>
    <font>
      <sz val="10"/>
      <color indexed="10"/>
      <name val="Arial"/>
      <family val="2"/>
      <charset val="204"/>
    </font>
    <font>
      <b/>
      <sz val="10"/>
      <color indexed="8"/>
      <name val="Arial"/>
      <family val="2"/>
      <charset val="204"/>
    </font>
    <font>
      <vertAlign val="superscript"/>
      <sz val="10"/>
      <name val="Arial"/>
      <family val="2"/>
      <charset val="204"/>
    </font>
    <font>
      <sz val="10"/>
      <color indexed="22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18"/>
      <color indexed="10"/>
      <name val="Arial"/>
      <family val="2"/>
      <charset val="204"/>
    </font>
    <font>
      <sz val="12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indexed="8"/>
      <name val="Arial"/>
      <family val="2"/>
      <charset val="204"/>
    </font>
    <font>
      <i/>
      <sz val="10"/>
      <color indexed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C0C0C0"/>
      <name val="Arial"/>
      <family val="2"/>
      <charset val="204"/>
    </font>
    <font>
      <b/>
      <sz val="10"/>
      <color rgb="FFC0C0C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2"/>
      <color rgb="FFFF0000"/>
      <name val="Arial"/>
      <family val="2"/>
      <charset val="204"/>
    </font>
    <font>
      <i/>
      <sz val="10"/>
      <color rgb="FFFF0000"/>
      <name val="Arial"/>
      <family val="2"/>
      <charset val="204"/>
    </font>
    <font>
      <sz val="9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10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1" fillId="0" borderId="0"/>
  </cellStyleXfs>
  <cellXfs count="203">
    <xf numFmtId="0" fontId="0" fillId="0" borderId="0" xfId="0"/>
    <xf numFmtId="0" fontId="2" fillId="0" borderId="0" xfId="1" applyFont="1" applyFill="1" applyAlignment="1">
      <alignment horizontal="left"/>
    </xf>
    <xf numFmtId="0" fontId="3" fillId="0" borderId="0" xfId="0" applyFont="1"/>
    <xf numFmtId="0" fontId="4" fillId="0" borderId="0" xfId="0" applyFont="1"/>
    <xf numFmtId="14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14" fontId="7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textRotation="90"/>
    </xf>
    <xf numFmtId="164" fontId="10" fillId="0" borderId="0" xfId="0" applyNumberFormat="1" applyFont="1" applyAlignment="1">
      <alignment vertical="center"/>
    </xf>
    <xf numFmtId="14" fontId="7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/>
    <xf numFmtId="0" fontId="13" fillId="0" borderId="0" xfId="0" applyFont="1"/>
    <xf numFmtId="0" fontId="23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3" fontId="2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0" borderId="0" xfId="0" applyFont="1"/>
    <xf numFmtId="3" fontId="3" fillId="0" borderId="0" xfId="0" applyNumberFormat="1" applyFont="1" applyAlignment="1">
      <alignment horizontal="center" vertical="center"/>
    </xf>
    <xf numFmtId="0" fontId="7" fillId="0" borderId="0" xfId="0" applyFont="1"/>
    <xf numFmtId="0" fontId="10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9" fontId="3" fillId="0" borderId="0" xfId="0" applyNumberFormat="1" applyFont="1" applyAlignment="1">
      <alignment horizontal="center" vertical="center"/>
    </xf>
    <xf numFmtId="0" fontId="22" fillId="0" borderId="0" xfId="0" applyFont="1"/>
    <xf numFmtId="0" fontId="6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3" fontId="23" fillId="0" borderId="0" xfId="0" applyNumberFormat="1" applyFont="1" applyAlignment="1">
      <alignment vertical="center"/>
    </xf>
    <xf numFmtId="0" fontId="17" fillId="0" borderId="1" xfId="0" applyFont="1" applyBorder="1" applyAlignment="1">
      <alignment horizontal="center" vertical="center"/>
    </xf>
    <xf numFmtId="1" fontId="17" fillId="0" borderId="4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2" fontId="3" fillId="0" borderId="1" xfId="0" applyNumberFormat="1" applyFont="1" applyBorder="1" applyAlignment="1">
      <alignment horizontal="left" vertical="center"/>
    </xf>
    <xf numFmtId="2" fontId="3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15" fillId="2" borderId="4" xfId="0" applyFont="1" applyFill="1" applyBorder="1" applyAlignment="1">
      <alignment vertical="center"/>
    </xf>
    <xf numFmtId="0" fontId="17" fillId="2" borderId="5" xfId="0" applyFont="1" applyFill="1" applyBorder="1" applyAlignment="1">
      <alignment vertical="center"/>
    </xf>
    <xf numFmtId="0" fontId="17" fillId="2" borderId="4" xfId="0" applyFont="1" applyFill="1" applyBorder="1" applyAlignment="1">
      <alignment vertical="center"/>
    </xf>
    <xf numFmtId="0" fontId="15" fillId="2" borderId="5" xfId="0" applyFont="1" applyFill="1" applyBorder="1" applyAlignment="1">
      <alignment vertical="center"/>
    </xf>
    <xf numFmtId="0" fontId="17" fillId="2" borderId="5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14" fontId="3" fillId="0" borderId="0" xfId="0" applyNumberFormat="1" applyFont="1"/>
    <xf numFmtId="165" fontId="25" fillId="0" borderId="1" xfId="2" applyNumberFormat="1" applyFont="1" applyBorder="1" applyAlignment="1">
      <alignment horizontal="center"/>
    </xf>
    <xf numFmtId="0" fontId="26" fillId="0" borderId="0" xfId="0" applyFont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3" fontId="25" fillId="0" borderId="1" xfId="2" applyNumberFormat="1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9" fillId="0" borderId="0" xfId="0" applyFont="1"/>
    <xf numFmtId="0" fontId="18" fillId="0" borderId="0" xfId="0" applyFont="1"/>
    <xf numFmtId="0" fontId="18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164" fontId="20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textRotation="90"/>
    </xf>
    <xf numFmtId="1" fontId="17" fillId="0" borderId="6" xfId="0" applyNumberFormat="1" applyFont="1" applyBorder="1" applyAlignment="1">
      <alignment horizontal="center" vertical="center"/>
    </xf>
    <xf numFmtId="0" fontId="2" fillId="0" borderId="0" xfId="1" applyFont="1" applyFill="1" applyAlignment="1"/>
    <xf numFmtId="0" fontId="29" fillId="0" borderId="0" xfId="0" applyFont="1"/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7" fillId="2" borderId="14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0" fillId="0" borderId="14" xfId="0" applyBorder="1"/>
    <xf numFmtId="0" fontId="3" fillId="0" borderId="14" xfId="0" applyFont="1" applyBorder="1"/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7" fillId="2" borderId="14" xfId="0" applyFont="1" applyFill="1" applyBorder="1" applyAlignment="1">
      <alignment horizontal="left" vertical="center" wrapText="1"/>
    </xf>
    <xf numFmtId="0" fontId="3" fillId="0" borderId="14" xfId="0" applyFont="1" applyFill="1" applyBorder="1"/>
    <xf numFmtId="0" fontId="3" fillId="0" borderId="1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/>
    </xf>
    <xf numFmtId="0" fontId="0" fillId="0" borderId="0" xfId="0" applyFill="1"/>
    <xf numFmtId="0" fontId="0" fillId="0" borderId="14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top" wrapText="1"/>
    </xf>
    <xf numFmtId="1" fontId="3" fillId="0" borderId="14" xfId="0" applyNumberFormat="1" applyFont="1" applyBorder="1" applyAlignment="1">
      <alignment horizontal="center"/>
    </xf>
    <xf numFmtId="0" fontId="25" fillId="0" borderId="14" xfId="0" applyFont="1" applyBorder="1"/>
    <xf numFmtId="0" fontId="25" fillId="0" borderId="14" xfId="0" applyFont="1" applyBorder="1" applyAlignment="1">
      <alignment horizontal="center"/>
    </xf>
    <xf numFmtId="2" fontId="25" fillId="0" borderId="14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0" fontId="25" fillId="0" borderId="14" xfId="0" applyFont="1" applyFill="1" applyBorder="1" applyAlignment="1">
      <alignment horizontal="center"/>
    </xf>
    <xf numFmtId="2" fontId="25" fillId="0" borderId="14" xfId="0" applyNumberFormat="1" applyFont="1" applyFill="1" applyBorder="1" applyAlignment="1">
      <alignment horizontal="center"/>
    </xf>
    <xf numFmtId="0" fontId="25" fillId="0" borderId="14" xfId="0" applyFont="1" applyFill="1" applyBorder="1"/>
    <xf numFmtId="0" fontId="0" fillId="0" borderId="14" xfId="0" applyFill="1" applyBorder="1"/>
    <xf numFmtId="0" fontId="0" fillId="2" borderId="14" xfId="0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  <xf numFmtId="0" fontId="3" fillId="0" borderId="14" xfId="0" applyFont="1" applyBorder="1" applyAlignment="1">
      <alignment vertical="center" wrapText="1"/>
    </xf>
    <xf numFmtId="0" fontId="3" fillId="0" borderId="14" xfId="0" applyFont="1" applyBorder="1" applyAlignment="1">
      <alignment horizontal="right"/>
    </xf>
    <xf numFmtId="0" fontId="3" fillId="0" borderId="14" xfId="0" applyFont="1" applyFill="1" applyBorder="1" applyAlignment="1">
      <alignment horizontal="right"/>
    </xf>
    <xf numFmtId="0" fontId="3" fillId="0" borderId="14" xfId="0" applyFont="1" applyFill="1" applyBorder="1" applyAlignment="1">
      <alignment vertical="center" wrapText="1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14" xfId="0" applyFont="1" applyFill="1" applyBorder="1" applyAlignment="1">
      <alignment horizontal="right" vertical="center"/>
    </xf>
    <xf numFmtId="0" fontId="3" fillId="0" borderId="14" xfId="0" applyFont="1" applyFill="1" applyBorder="1" applyAlignment="1">
      <alignment vertical="center"/>
    </xf>
    <xf numFmtId="2" fontId="3" fillId="0" borderId="14" xfId="0" applyNumberFormat="1" applyFont="1" applyFill="1" applyBorder="1" applyAlignment="1">
      <alignment horizontal="center"/>
    </xf>
    <xf numFmtId="14" fontId="2" fillId="0" borderId="0" xfId="1" applyNumberFormat="1" applyFont="1" applyFill="1" applyAlignment="1"/>
    <xf numFmtId="0" fontId="2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28" fillId="0" borderId="12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3" borderId="1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4" xfId="2" xr:uid="{00000000-0005-0000-0000-000002000000}"/>
  </cellStyles>
  <dxfs count="0"/>
  <tableStyles count="0" defaultTableStyle="TableStyleMedium2" defaultPivotStyle="PivotStyleLight16"/>
  <colors>
    <mruColors>
      <color rgb="FFC0C0C0"/>
      <color rgb="FF00FF00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CC00"/>
  </sheetPr>
  <dimension ref="A1:AG183"/>
  <sheetViews>
    <sheetView showGridLines="0" tabSelected="1" zoomScale="85" zoomScaleNormal="85" zoomScaleSheetLayoutView="50" zoomScalePageLayoutView="55" workbookViewId="0">
      <pane ySplit="15" topLeftCell="A16" activePane="bottomLeft" state="frozen"/>
      <selection pane="bottomLeft"/>
    </sheetView>
  </sheetViews>
  <sheetFormatPr defaultColWidth="0" defaultRowHeight="12.75" zeroHeight="1" x14ac:dyDescent="0.2"/>
  <cols>
    <col min="1" max="1" width="55.7109375" style="2" customWidth="1"/>
    <col min="2" max="2" width="14" style="2" customWidth="1"/>
    <col min="3" max="3" width="13.140625" style="2" customWidth="1"/>
    <col min="4" max="4" width="15.5703125" style="2" customWidth="1"/>
    <col min="5" max="6" width="14.42578125" style="2" customWidth="1"/>
    <col min="7" max="7" width="12.5703125" style="2" customWidth="1"/>
    <col min="8" max="8" width="13.5703125" style="2" customWidth="1"/>
    <col min="9" max="9" width="14.85546875" style="2" customWidth="1"/>
    <col min="10" max="10" width="19.5703125" style="2" bestFit="1" customWidth="1"/>
    <col min="11" max="11" width="10.5703125" style="2" hidden="1" customWidth="1"/>
    <col min="12" max="12" width="9" style="2" hidden="1" customWidth="1"/>
    <col min="13" max="13" width="9.42578125" style="2" hidden="1" customWidth="1"/>
    <col min="14" max="14" width="10.85546875" style="2" hidden="1" customWidth="1"/>
    <col min="15" max="33" width="0" style="2" hidden="1" customWidth="1"/>
    <col min="34" max="16384" width="9.140625" style="2" hidden="1"/>
  </cols>
  <sheetData>
    <row r="1" spans="1:11" x14ac:dyDescent="0.2">
      <c r="A1" s="152">
        <v>45273</v>
      </c>
      <c r="B1" s="104"/>
      <c r="C1" s="104"/>
      <c r="D1" s="104"/>
      <c r="E1" s="1"/>
      <c r="F1" s="1"/>
      <c r="H1" s="49"/>
      <c r="I1" s="4"/>
    </row>
    <row r="2" spans="1:11" ht="27" customHeight="1" thickBot="1" x14ac:dyDescent="0.25">
      <c r="A2" s="111" t="s">
        <v>134</v>
      </c>
      <c r="B2" s="111"/>
      <c r="C2" s="111"/>
      <c r="D2" s="111"/>
      <c r="E2" s="111"/>
      <c r="F2" s="111"/>
      <c r="G2" s="111"/>
      <c r="H2" s="111"/>
      <c r="I2" s="111"/>
      <c r="K2" s="4"/>
    </row>
    <row r="3" spans="1:11" ht="16.5" customHeight="1" x14ac:dyDescent="0.2">
      <c r="A3" s="5"/>
      <c r="B3" s="6"/>
      <c r="H3" s="7"/>
      <c r="I3" s="7"/>
      <c r="J3" s="9"/>
      <c r="K3" s="9"/>
    </row>
    <row r="4" spans="1:11" ht="16.5" customHeight="1" x14ac:dyDescent="0.2">
      <c r="A4" s="176" t="s">
        <v>129</v>
      </c>
      <c r="B4" s="162" t="s">
        <v>30</v>
      </c>
      <c r="C4" s="162"/>
      <c r="D4" s="162"/>
      <c r="E4" s="162"/>
      <c r="F4" s="162"/>
      <c r="G4" s="162"/>
      <c r="H4" s="162"/>
      <c r="I4" s="162"/>
      <c r="J4" s="9"/>
      <c r="K4" s="9"/>
    </row>
    <row r="5" spans="1:11" ht="16.5" customHeight="1" x14ac:dyDescent="0.2">
      <c r="A5" s="176"/>
      <c r="B5" s="172" t="s">
        <v>32</v>
      </c>
      <c r="C5" s="172"/>
      <c r="D5" s="172" t="s">
        <v>33</v>
      </c>
      <c r="E5" s="172"/>
      <c r="F5" s="172" t="s">
        <v>34</v>
      </c>
      <c r="G5" s="172"/>
      <c r="H5" s="172" t="s">
        <v>35</v>
      </c>
      <c r="I5" s="172"/>
      <c r="J5" s="9"/>
      <c r="K5" s="9"/>
    </row>
    <row r="6" spans="1:11" ht="16.5" customHeight="1" x14ac:dyDescent="0.2">
      <c r="A6" s="68" t="s">
        <v>123</v>
      </c>
      <c r="B6" s="171">
        <v>0</v>
      </c>
      <c r="C6" s="171"/>
      <c r="D6" s="171">
        <v>0</v>
      </c>
      <c r="E6" s="171"/>
      <c r="F6" s="171">
        <v>0</v>
      </c>
      <c r="G6" s="171"/>
      <c r="H6" s="171">
        <v>0</v>
      </c>
      <c r="I6" s="171"/>
      <c r="J6" s="6" t="s">
        <v>126</v>
      </c>
      <c r="K6" s="9"/>
    </row>
    <row r="7" spans="1:11" ht="16.5" customHeight="1" x14ac:dyDescent="0.2">
      <c r="A7" s="68" t="s">
        <v>38</v>
      </c>
      <c r="B7" s="171">
        <v>0</v>
      </c>
      <c r="C7" s="171"/>
      <c r="D7" s="171">
        <v>0</v>
      </c>
      <c r="E7" s="171"/>
      <c r="F7" s="171">
        <v>0</v>
      </c>
      <c r="G7" s="171"/>
      <c r="H7" s="171">
        <v>0</v>
      </c>
      <c r="I7" s="171"/>
      <c r="J7" s="6" t="s">
        <v>127</v>
      </c>
      <c r="K7" s="9"/>
    </row>
    <row r="8" spans="1:11" ht="16.5" customHeight="1" x14ac:dyDescent="0.2">
      <c r="A8" s="68" t="s">
        <v>40</v>
      </c>
      <c r="B8" s="171">
        <v>0</v>
      </c>
      <c r="C8" s="171"/>
      <c r="D8" s="171">
        <v>0</v>
      </c>
      <c r="E8" s="171"/>
      <c r="F8" s="171">
        <v>0</v>
      </c>
      <c r="G8" s="171"/>
      <c r="H8" s="171">
        <v>0</v>
      </c>
      <c r="I8" s="171"/>
      <c r="J8" s="6" t="s">
        <v>128</v>
      </c>
      <c r="K8" s="9"/>
    </row>
    <row r="9" spans="1:11" ht="16.5" customHeight="1" x14ac:dyDescent="0.2">
      <c r="A9" s="69" t="s">
        <v>41</v>
      </c>
      <c r="B9" s="171">
        <v>0</v>
      </c>
      <c r="C9" s="171"/>
      <c r="D9" s="171">
        <v>0</v>
      </c>
      <c r="E9" s="171"/>
      <c r="F9" s="171">
        <v>0</v>
      </c>
      <c r="G9" s="171"/>
      <c r="H9" s="171">
        <v>0</v>
      </c>
      <c r="I9" s="171"/>
      <c r="J9" s="6" t="s">
        <v>128</v>
      </c>
      <c r="K9" s="9"/>
    </row>
    <row r="10" spans="1:11" ht="16.5" customHeight="1" x14ac:dyDescent="0.2">
      <c r="A10" s="69" t="s">
        <v>42</v>
      </c>
      <c r="B10" s="171">
        <v>0</v>
      </c>
      <c r="C10" s="171"/>
      <c r="D10" s="171">
        <v>0</v>
      </c>
      <c r="E10" s="171"/>
      <c r="F10" s="171">
        <v>0</v>
      </c>
      <c r="G10" s="171"/>
      <c r="H10" s="171">
        <v>0</v>
      </c>
      <c r="I10" s="171"/>
      <c r="J10" s="6" t="s">
        <v>128</v>
      </c>
      <c r="K10" s="9"/>
    </row>
    <row r="11" spans="1:11" ht="16.5" customHeight="1" x14ac:dyDescent="0.2">
      <c r="A11" s="68" t="s">
        <v>44</v>
      </c>
      <c r="B11" s="171" t="s">
        <v>45</v>
      </c>
      <c r="C11" s="171"/>
      <c r="D11" s="171" t="s">
        <v>45</v>
      </c>
      <c r="E11" s="171"/>
      <c r="F11" s="171" t="s">
        <v>45</v>
      </c>
      <c r="G11" s="171"/>
      <c r="H11" s="171" t="s">
        <v>45</v>
      </c>
      <c r="I11" s="171"/>
      <c r="J11" s="6" t="s">
        <v>126</v>
      </c>
      <c r="K11" s="9"/>
    </row>
    <row r="12" spans="1:11" ht="16.5" customHeight="1" x14ac:dyDescent="0.2">
      <c r="A12" s="68" t="s">
        <v>137</v>
      </c>
      <c r="B12" s="169" t="s">
        <v>45</v>
      </c>
      <c r="C12" s="170"/>
      <c r="D12" s="169" t="s">
        <v>45</v>
      </c>
      <c r="E12" s="170"/>
      <c r="F12" s="169" t="s">
        <v>45</v>
      </c>
      <c r="G12" s="170"/>
      <c r="H12" s="169" t="s">
        <v>45</v>
      </c>
      <c r="I12" s="170"/>
      <c r="J12" s="6" t="s">
        <v>126</v>
      </c>
      <c r="K12" s="9"/>
    </row>
    <row r="13" spans="1:11" ht="29.25" customHeight="1" x14ac:dyDescent="0.2">
      <c r="A13" s="68" t="s">
        <v>138</v>
      </c>
      <c r="B13" s="154" t="s">
        <v>45</v>
      </c>
      <c r="C13" s="155"/>
      <c r="D13" s="154" t="s">
        <v>45</v>
      </c>
      <c r="E13" s="155"/>
      <c r="F13" s="154" t="s">
        <v>45</v>
      </c>
      <c r="G13" s="155"/>
      <c r="H13" s="154" t="s">
        <v>45</v>
      </c>
      <c r="I13" s="155"/>
      <c r="J13" s="6" t="s">
        <v>126</v>
      </c>
      <c r="K13" s="9"/>
    </row>
    <row r="14" spans="1:11" ht="19.5" customHeight="1" x14ac:dyDescent="0.2">
      <c r="A14" s="68" t="s">
        <v>161</v>
      </c>
      <c r="B14" s="154" t="s">
        <v>10</v>
      </c>
      <c r="C14" s="155"/>
      <c r="D14" s="154" t="s">
        <v>10</v>
      </c>
      <c r="E14" s="155"/>
      <c r="F14" s="154" t="s">
        <v>10</v>
      </c>
      <c r="G14" s="155"/>
      <c r="H14" s="154" t="s">
        <v>10</v>
      </c>
      <c r="I14" s="155"/>
      <c r="J14" s="6" t="s">
        <v>126</v>
      </c>
      <c r="K14" s="9"/>
    </row>
    <row r="15" spans="1:11" ht="30" customHeight="1" x14ac:dyDescent="0.2">
      <c r="A15" s="68" t="s">
        <v>204</v>
      </c>
      <c r="B15" s="154" t="s">
        <v>201</v>
      </c>
      <c r="C15" s="155"/>
      <c r="D15" s="154" t="s">
        <v>45</v>
      </c>
      <c r="E15" s="155"/>
      <c r="F15" s="154" t="s">
        <v>45</v>
      </c>
      <c r="G15" s="155"/>
      <c r="H15" s="154" t="s">
        <v>45</v>
      </c>
      <c r="I15" s="155"/>
      <c r="J15" s="6" t="s">
        <v>126</v>
      </c>
      <c r="K15" s="9"/>
    </row>
    <row r="16" spans="1:11" ht="44.25" customHeight="1" x14ac:dyDescent="0.2">
      <c r="A16" s="5"/>
      <c r="B16" s="6"/>
      <c r="H16" s="7"/>
      <c r="I16" s="7"/>
      <c r="J16" s="9"/>
      <c r="K16" s="9"/>
    </row>
    <row r="17" spans="1:11" ht="16.5" customHeight="1" x14ac:dyDescent="0.2">
      <c r="A17" s="162" t="s">
        <v>130</v>
      </c>
      <c r="B17" s="163" t="s">
        <v>0</v>
      </c>
      <c r="C17" s="164"/>
      <c r="D17" s="164" t="s">
        <v>1</v>
      </c>
      <c r="E17" s="164"/>
      <c r="F17" s="164" t="s">
        <v>2</v>
      </c>
      <c r="G17" s="164"/>
      <c r="H17" s="164" t="s">
        <v>3</v>
      </c>
      <c r="I17" s="165"/>
      <c r="K17" s="9"/>
    </row>
    <row r="18" spans="1:11" ht="16.5" customHeight="1" x14ac:dyDescent="0.2">
      <c r="A18" s="162"/>
      <c r="B18" s="108" t="s">
        <v>6</v>
      </c>
      <c r="C18" s="71" t="s">
        <v>7</v>
      </c>
      <c r="D18" s="72" t="s">
        <v>6</v>
      </c>
      <c r="E18" s="71" t="s">
        <v>7</v>
      </c>
      <c r="F18" s="72" t="s">
        <v>6</v>
      </c>
      <c r="G18" s="71" t="s">
        <v>7</v>
      </c>
      <c r="H18" s="72" t="s">
        <v>6</v>
      </c>
      <c r="I18" s="108" t="s">
        <v>7</v>
      </c>
      <c r="K18" s="9"/>
    </row>
    <row r="19" spans="1:11" ht="16.5" customHeight="1" x14ac:dyDescent="0.2">
      <c r="A19" s="73" t="s">
        <v>84</v>
      </c>
      <c r="B19" s="73"/>
      <c r="C19" s="74"/>
      <c r="D19" s="75"/>
      <c r="E19" s="76"/>
      <c r="F19" s="75"/>
      <c r="G19" s="76"/>
      <c r="H19" s="75"/>
      <c r="I19" s="77"/>
      <c r="K19" s="9"/>
    </row>
    <row r="20" spans="1:11" ht="16.5" customHeight="1" x14ac:dyDescent="0.2">
      <c r="A20" s="46" t="s">
        <v>125</v>
      </c>
      <c r="B20" s="53">
        <f>IF(B7=0,0,B7-0.01)</f>
        <v>0</v>
      </c>
      <c r="C20" s="54">
        <f>IF(B20=0,0,B8*ROUNDDOWN(B6/(110/1000),0))</f>
        <v>0</v>
      </c>
      <c r="D20" s="55">
        <f>IF(D7=0,0,D7-0.01)</f>
        <v>0</v>
      </c>
      <c r="E20" s="54">
        <f>IF(D20=0,0,D8*ROUNDDOWN(D6/(110/1000),0))</f>
        <v>0</v>
      </c>
      <c r="F20" s="55">
        <f>IF(F7=0,0,F7-0.01)</f>
        <v>0</v>
      </c>
      <c r="G20" s="54">
        <f>IF(F20=0,0,F8*ROUNDDOWN(F6/(110/1000),0))</f>
        <v>0</v>
      </c>
      <c r="H20" s="55">
        <f>IF(H7=0,0,H7-0.01)</f>
        <v>0</v>
      </c>
      <c r="I20" s="56">
        <f>IF(H20=0,0,H8*ROUNDDOWN(H6/(110/1000),0))</f>
        <v>0</v>
      </c>
      <c r="K20" s="9"/>
    </row>
    <row r="21" spans="1:11" ht="16.5" customHeight="1" x14ac:dyDescent="0.2">
      <c r="A21" s="46" t="s">
        <v>117</v>
      </c>
      <c r="B21" s="53">
        <f>IF(B7=0,0,B7-0.01)</f>
        <v>0</v>
      </c>
      <c r="C21" s="54">
        <f>IF(B21=0,0,B8)</f>
        <v>0</v>
      </c>
      <c r="D21" s="55">
        <f>IF(D7=0,0,D7-0.01)</f>
        <v>0</v>
      </c>
      <c r="E21" s="54">
        <f>IF(D21=0,0,D8)</f>
        <v>0</v>
      </c>
      <c r="F21" s="55">
        <f>IF(F7=0,0,F7-0.01)</f>
        <v>0</v>
      </c>
      <c r="G21" s="54">
        <f>IF(F21=0,0,F8)</f>
        <v>0</v>
      </c>
      <c r="H21" s="55">
        <f>IF(H7=0,0,H7-0.01)</f>
        <v>0</v>
      </c>
      <c r="I21" s="56">
        <f>IF(H21=0,0,H8)</f>
        <v>0</v>
      </c>
      <c r="K21" s="9"/>
    </row>
    <row r="22" spans="1:11" ht="16.5" customHeight="1" x14ac:dyDescent="0.2">
      <c r="A22" s="46" t="s">
        <v>4</v>
      </c>
      <c r="B22" s="53">
        <f>IF(AND(B6&gt;0,B11="да"),0,B6)</f>
        <v>0</v>
      </c>
      <c r="C22" s="54">
        <f>IF(B22=0,0,IF(B8=0,0,IF(B8=1,2*2,IF(B10=0,(B8+1)*2-C23,(B8+1+B10)*2-C23))))</f>
        <v>0</v>
      </c>
      <c r="D22" s="55">
        <f>IF(AND(D6&gt;0,D11="да"),0,D6)</f>
        <v>0</v>
      </c>
      <c r="E22" s="54">
        <f>IF(D22=0,0,IF(D8=0,0,IF(D8=1,2*2,IF(D10=0,(D8+1)*2-E23,(D8+1+D10)*2-E23))))</f>
        <v>0</v>
      </c>
      <c r="F22" s="55">
        <f>IF(AND(F6&gt;0,F11="да"),0,F6)</f>
        <v>0</v>
      </c>
      <c r="G22" s="54">
        <f>IF(F22=0,0,IF(F8=0,0,IF(F8=1,2*2,IF(F10=0,(F8+1)*2-G23,(F8+1+F10)*2-G23))))</f>
        <v>0</v>
      </c>
      <c r="H22" s="55">
        <f>IF(AND(H6&gt;0,H11="да"),0,H6)</f>
        <v>0</v>
      </c>
      <c r="I22" s="56">
        <f>IF(H22=0,0,IF(H8=0,0,IF(H8=1,2*2,IF(H10=0,(H8+1)*2-I23,(H8+1+H10)*2-I23))))</f>
        <v>0</v>
      </c>
      <c r="J22" s="89"/>
      <c r="K22" s="9"/>
    </row>
    <row r="23" spans="1:11" ht="16.5" customHeight="1" x14ac:dyDescent="0.2">
      <c r="A23" s="46" t="s">
        <v>8</v>
      </c>
      <c r="B23" s="53">
        <f>IF(OR(AND(B9=0,B10=0),B11="да"),0,B6)</f>
        <v>0</v>
      </c>
      <c r="C23" s="54">
        <f>IF(B23=0,0,B9+B10*2)</f>
        <v>0</v>
      </c>
      <c r="D23" s="55">
        <f>IF(OR(AND(D9=0,D10=0),D11="да"),0,D6)</f>
        <v>0</v>
      </c>
      <c r="E23" s="54">
        <f>IF(D23=0,0,D9+D10*2)</f>
        <v>0</v>
      </c>
      <c r="F23" s="55">
        <f>IF(OR(AND(F9=0,F10=0),F11="да"),0,F6)</f>
        <v>0</v>
      </c>
      <c r="G23" s="54">
        <f>IF(F23=0,0,F9+F10*2)</f>
        <v>0</v>
      </c>
      <c r="H23" s="55">
        <f>IF(OR(AND(H9=0,H10=0),H11="да"),0,H6)</f>
        <v>0</v>
      </c>
      <c r="I23" s="56">
        <f>IF(H23=0,0,H9+H10*2)</f>
        <v>0</v>
      </c>
      <c r="K23" s="9"/>
    </row>
    <row r="24" spans="1:11" ht="16.5" customHeight="1" x14ac:dyDescent="0.2">
      <c r="A24" s="46" t="s">
        <v>5</v>
      </c>
      <c r="B24" s="53">
        <f>IF(B8=0,0,B6)</f>
        <v>0</v>
      </c>
      <c r="C24" s="54">
        <f>B8*(ROUNDDOWN(B7/1.01,0))</f>
        <v>0</v>
      </c>
      <c r="D24" s="55">
        <f>IF(D8=0,0,D6)</f>
        <v>0</v>
      </c>
      <c r="E24" s="54">
        <f>D8*(ROUNDDOWN(D7/1.01,0))</f>
        <v>0</v>
      </c>
      <c r="F24" s="55">
        <f>IF(F8=0,0,F6)</f>
        <v>0</v>
      </c>
      <c r="G24" s="54">
        <f>F8*(ROUNDDOWN(F7/1.01,0))</f>
        <v>0</v>
      </c>
      <c r="H24" s="55">
        <f>IF(H8=0,0,H6)</f>
        <v>0</v>
      </c>
      <c r="I24" s="56">
        <f>H8*(ROUNDDOWN(H7/1.01,0))</f>
        <v>0</v>
      </c>
      <c r="K24" s="9"/>
    </row>
    <row r="25" spans="1:11" ht="16.5" customHeight="1" x14ac:dyDescent="0.2">
      <c r="A25" s="46" t="s">
        <v>65</v>
      </c>
      <c r="B25" s="53">
        <f>IF(B8=0,0,B6)</f>
        <v>0</v>
      </c>
      <c r="C25" s="54">
        <f>2*B8</f>
        <v>0</v>
      </c>
      <c r="D25" s="55">
        <f>IF(D8=0,0,D6)</f>
        <v>0</v>
      </c>
      <c r="E25" s="54">
        <f>2*D8</f>
        <v>0</v>
      </c>
      <c r="F25" s="55">
        <f>IF(F8=0,0,F6)</f>
        <v>0</v>
      </c>
      <c r="G25" s="54">
        <f>2*F8</f>
        <v>0</v>
      </c>
      <c r="H25" s="55">
        <f>IF(H8=0,0,H6)</f>
        <v>0</v>
      </c>
      <c r="I25" s="56">
        <f>2*H8</f>
        <v>0</v>
      </c>
      <c r="K25" s="9"/>
    </row>
    <row r="26" spans="1:11" ht="16.5" customHeight="1" x14ac:dyDescent="0.2">
      <c r="A26" s="46" t="s">
        <v>82</v>
      </c>
      <c r="B26" s="53">
        <f>IF(B7=0,0,ROUND(B7,2))</f>
        <v>0</v>
      </c>
      <c r="C26" s="54">
        <f>1*B8</f>
        <v>0</v>
      </c>
      <c r="D26" s="53">
        <f>IF(D7=0,0,ROUND(D7,2))</f>
        <v>0</v>
      </c>
      <c r="E26" s="54">
        <f>1*D8</f>
        <v>0</v>
      </c>
      <c r="F26" s="53">
        <f>IF(F7=0,0,ROUND(F7,2))</f>
        <v>0</v>
      </c>
      <c r="G26" s="54">
        <f>1*F8</f>
        <v>0</v>
      </c>
      <c r="H26" s="53">
        <f>IF(H7=0,0,ROUND(H7,2))</f>
        <v>0</v>
      </c>
      <c r="I26" s="56">
        <f>1*H8</f>
        <v>0</v>
      </c>
      <c r="K26" s="9"/>
    </row>
    <row r="27" spans="1:11" ht="16.5" customHeight="1" x14ac:dyDescent="0.2">
      <c r="A27" s="107" t="s">
        <v>162</v>
      </c>
      <c r="B27" s="57" t="s">
        <v>10</v>
      </c>
      <c r="C27" s="54">
        <f>IF(B11="да",0,(IF(B8=0,0,IF(B8=1,2,IF(B10=0,B8+1,B8+1+B10)))))</f>
        <v>0</v>
      </c>
      <c r="D27" s="58" t="s">
        <v>10</v>
      </c>
      <c r="E27" s="54">
        <f>IF(D11="да",0,(IF(D8=0,0,IF(D8=1,2,IF(D10=0,D8+1,D8+1+D10)))))</f>
        <v>0</v>
      </c>
      <c r="F27" s="58" t="s">
        <v>10</v>
      </c>
      <c r="G27" s="54">
        <f>IF(F11="да",0,(IF(F8=0,0,IF(F8=1,2,IF(F10=0,F8+1,F8+1+F10)))))</f>
        <v>0</v>
      </c>
      <c r="H27" s="58" t="s">
        <v>10</v>
      </c>
      <c r="I27" s="56">
        <f>IF(H11="да",0,(IF(H8=0,0,IF(H8=1,2,IF(H10=0,H8+1,H8+1+H10)))))</f>
        <v>0</v>
      </c>
      <c r="K27" s="9"/>
    </row>
    <row r="28" spans="1:11" ht="16.5" customHeight="1" x14ac:dyDescent="0.2">
      <c r="A28" s="46" t="s">
        <v>9</v>
      </c>
      <c r="B28" s="53" t="s">
        <v>10</v>
      </c>
      <c r="C28" s="54">
        <f>IF(B8=0,0,2)</f>
        <v>0</v>
      </c>
      <c r="D28" s="55" t="s">
        <v>10</v>
      </c>
      <c r="E28" s="54">
        <v>0</v>
      </c>
      <c r="F28" s="55" t="s">
        <v>10</v>
      </c>
      <c r="G28" s="54">
        <v>0</v>
      </c>
      <c r="H28" s="55" t="s">
        <v>10</v>
      </c>
      <c r="I28" s="56">
        <v>0</v>
      </c>
      <c r="K28" s="9"/>
    </row>
    <row r="29" spans="1:11" ht="16.5" customHeight="1" x14ac:dyDescent="0.2">
      <c r="A29" s="109" t="s">
        <v>12</v>
      </c>
      <c r="B29" s="57" t="str">
        <f>IF(C29=0,"-","5,5х19")</f>
        <v>-</v>
      </c>
      <c r="C29" s="54">
        <f>IF(B11="да",0,(C25*5))</f>
        <v>0</v>
      </c>
      <c r="D29" s="58" t="str">
        <f>IF(E29=0,"-","5,5х19")</f>
        <v>-</v>
      </c>
      <c r="E29" s="54">
        <f>IF(D11="да",0,(E25*5))</f>
        <v>0</v>
      </c>
      <c r="F29" s="58" t="str">
        <f>IF(G29=0,"-","5,5х19")</f>
        <v>-</v>
      </c>
      <c r="G29" s="54">
        <f>IF(F11="да",0,(G25*5))</f>
        <v>0</v>
      </c>
      <c r="H29" s="58" t="str">
        <f>IF(I29=0,"-","5,5х19")</f>
        <v>-</v>
      </c>
      <c r="I29" s="56">
        <f>IF(H11="да",0,(I25*5))</f>
        <v>0</v>
      </c>
      <c r="K29" s="9"/>
    </row>
    <row r="30" spans="1:11" ht="16.5" customHeight="1" x14ac:dyDescent="0.2">
      <c r="A30" s="46" t="s">
        <v>13</v>
      </c>
      <c r="B30" s="57" t="str">
        <f>IF(C30=0,"-","4,2x16")</f>
        <v>-</v>
      </c>
      <c r="C30" s="54">
        <f>IF(AND(B15="да",B6=2.01),IF(B8=0,0,C26*4+C21*3+IF(B8&gt;0,C20/B8*C24,0)),IF(B8=0,0,C20*4+C26*4+C21*3+IF(B8&gt;0,C20/B8*C24,0)))</f>
        <v>0</v>
      </c>
      <c r="D30" s="58" t="str">
        <f>IF(E30=0,"-","4,2x16")</f>
        <v>-</v>
      </c>
      <c r="E30" s="54">
        <f>IF(AND(D15="да",D6=2.01),IF(D8=0,0,E26*4+E21*3+IF(D8&gt;0,E20/D8*E24,0)),IF(D8=0,0,E20*4+E26*4+E21*3+IF(D8&gt;0,E20/D8*E24,0)))</f>
        <v>0</v>
      </c>
      <c r="F30" s="58" t="str">
        <f>IF(G30=0,"-","4,2x16")</f>
        <v>-</v>
      </c>
      <c r="G30" s="54">
        <f>IF(AND(F15="да",F6=2.01),IF(F8=0,0,G26*4+G21*3+IF(F8&gt;0,G20/F8*G24,0)),IF(F8=0,0,G20*4+G26*4+G21*3+IF(F8&gt;0,G20/F8*G24,0)))</f>
        <v>0</v>
      </c>
      <c r="H30" s="58" t="str">
        <f>IF(I30=0,"-","4,2x16")</f>
        <v>-</v>
      </c>
      <c r="I30" s="56">
        <f>IF(AND(H15="да",H6=2.01),IF(H8=0,0,I26*4+I21*3+IF(H8&gt;0,I20/H8*I24,0)),IF(H8=0,0,I20*4+I26*4+I21*3+IF(H8&gt;0,I20/H8*I24,0)))</f>
        <v>0</v>
      </c>
      <c r="K30" s="9"/>
    </row>
    <row r="31" spans="1:11" ht="16.5" customHeight="1" x14ac:dyDescent="0.2">
      <c r="A31" s="46" t="s">
        <v>177</v>
      </c>
      <c r="B31" s="57" t="str">
        <f>IF(C31=0,"-","7,5x52")</f>
        <v>-</v>
      </c>
      <c r="C31" s="54">
        <f>IF(B$8=0,0,IF(B$11="да",C25*5,0))</f>
        <v>0</v>
      </c>
      <c r="D31" s="57" t="str">
        <f>IF(E31=0,"-","7,5x52")</f>
        <v>-</v>
      </c>
      <c r="E31" s="54">
        <f>IF(D$8=0,0,IF(D$11="да",E25*5,0))</f>
        <v>0</v>
      </c>
      <c r="F31" s="57" t="str">
        <f>IF(G31=0,"-","7,5x52")</f>
        <v>-</v>
      </c>
      <c r="G31" s="54">
        <f>IF(F$8=0,0,IF(F$11="да",G25*5,0))</f>
        <v>0</v>
      </c>
      <c r="H31" s="57" t="str">
        <f>IF(I31=0,"-","7,5x52")</f>
        <v>-</v>
      </c>
      <c r="I31" s="56">
        <f>IF(H$8=0,0,IF(H$11="да",I25*5,0))</f>
        <v>0</v>
      </c>
      <c r="K31" s="9"/>
    </row>
    <row r="32" spans="1:11" ht="16.5" customHeight="1" x14ac:dyDescent="0.2">
      <c r="A32" s="46" t="s">
        <v>52</v>
      </c>
      <c r="B32" s="57"/>
      <c r="C32" s="54">
        <f>C31</f>
        <v>0</v>
      </c>
      <c r="D32" s="57"/>
      <c r="E32" s="54">
        <f>E31</f>
        <v>0</v>
      </c>
      <c r="F32" s="57"/>
      <c r="G32" s="54">
        <f>G31</f>
        <v>0</v>
      </c>
      <c r="H32" s="57"/>
      <c r="I32" s="56">
        <f>I31</f>
        <v>0</v>
      </c>
      <c r="K32" s="9"/>
    </row>
    <row r="33" spans="1:11" ht="16.5" customHeight="1" x14ac:dyDescent="0.2">
      <c r="A33" s="46" t="s">
        <v>202</v>
      </c>
      <c r="B33" s="57"/>
      <c r="C33" s="54">
        <f>IF(AND(B15="да",B6=2.01),B8,0)</f>
        <v>0</v>
      </c>
      <c r="D33" s="57"/>
      <c r="E33" s="54">
        <f>IF(AND(D15="да",D6=2.01),D8,0)</f>
        <v>0</v>
      </c>
      <c r="F33" s="57"/>
      <c r="G33" s="54">
        <f>IF(AND(F15="да",F6=2.01),F8,0)</f>
        <v>0</v>
      </c>
      <c r="H33" s="57"/>
      <c r="I33" s="56">
        <f>IF(AND(H15="да",H6=2.01),H8,0)</f>
        <v>0</v>
      </c>
      <c r="J33" s="52"/>
      <c r="K33" s="9"/>
    </row>
    <row r="34" spans="1:11" ht="16.5" customHeight="1" x14ac:dyDescent="0.2">
      <c r="A34" s="46" t="s">
        <v>203</v>
      </c>
      <c r="B34" s="57"/>
      <c r="C34" s="54">
        <f>IF(AND(B15="да",B6=2.01),B8,0)</f>
        <v>0</v>
      </c>
      <c r="D34" s="57"/>
      <c r="E34" s="54">
        <f>IF(AND(D15="да",D6=2.01),D8,0)</f>
        <v>0</v>
      </c>
      <c r="F34" s="57"/>
      <c r="G34" s="54">
        <f>IF(AND(F15="да",F6=2.01),F8,0)</f>
        <v>0</v>
      </c>
      <c r="H34" s="57"/>
      <c r="I34" s="103">
        <f>IF(AND(H15="да",H6=2.01),H8,0)</f>
        <v>0</v>
      </c>
      <c r="J34" s="52"/>
      <c r="K34" s="9"/>
    </row>
    <row r="35" spans="1:11" ht="24" customHeight="1" x14ac:dyDescent="0.2">
      <c r="A35" s="46"/>
      <c r="B35" s="177" t="str">
        <f>IF(AND(B15="да",B6=2.01),"-","Крепежный вкладыш не применяется")</f>
        <v>Крепежный вкладыш не применяется</v>
      </c>
      <c r="C35" s="175"/>
      <c r="D35" s="174" t="str">
        <f>IF(AND(D15="да",D6=2.01),"-","Крепежный вкладыш не применяется")</f>
        <v>Крепежный вкладыш не применяется</v>
      </c>
      <c r="E35" s="175"/>
      <c r="F35" s="174" t="str">
        <f>IF(AND(F15="да",F6=2.01),"-","Крепежный вкладыш не применяется")</f>
        <v>Крепежный вкладыш не применяется</v>
      </c>
      <c r="G35" s="175"/>
      <c r="H35" s="174" t="str">
        <f>IF(AND(H15="да",H6=2.01),"-","Крепежный вкладыш не применяется")</f>
        <v>Крепежный вкладыш не применяется</v>
      </c>
      <c r="I35" s="178"/>
      <c r="J35" s="52"/>
      <c r="K35" s="9"/>
    </row>
    <row r="36" spans="1:11" ht="16.5" customHeight="1" x14ac:dyDescent="0.2">
      <c r="A36" s="73" t="s">
        <v>15</v>
      </c>
      <c r="B36" s="78"/>
      <c r="C36" s="79"/>
      <c r="D36" s="80"/>
      <c r="E36" s="81"/>
      <c r="F36" s="82"/>
      <c r="G36" s="79"/>
      <c r="H36" s="82"/>
      <c r="I36" s="78"/>
      <c r="K36" s="9"/>
    </row>
    <row r="37" spans="1:11" ht="16.5" customHeight="1" x14ac:dyDescent="0.2">
      <c r="A37" s="46" t="str">
        <f>IF(B12="нет","-",B12)</f>
        <v>-</v>
      </c>
      <c r="B37" s="59"/>
      <c r="C37" s="54">
        <f>IF($B$12&lt;&gt;"нет",1,0)</f>
        <v>0</v>
      </c>
      <c r="D37" s="60"/>
      <c r="E37" s="54"/>
      <c r="F37" s="60"/>
      <c r="G37" s="54"/>
      <c r="H37" s="60"/>
      <c r="I37" s="56"/>
      <c r="K37" s="9"/>
    </row>
    <row r="38" spans="1:11" ht="16.5" customHeight="1" x14ac:dyDescent="0.2">
      <c r="A38" s="46" t="str">
        <f>IF(D12="нет","-",D12)</f>
        <v>-</v>
      </c>
      <c r="B38" s="59"/>
      <c r="C38" s="54"/>
      <c r="D38" s="60"/>
      <c r="E38" s="54">
        <f>IF($D$12&lt;&gt;"нет",1,0)</f>
        <v>0</v>
      </c>
      <c r="F38" s="60"/>
      <c r="G38" s="54"/>
      <c r="H38" s="60"/>
      <c r="I38" s="56"/>
      <c r="K38" s="9"/>
    </row>
    <row r="39" spans="1:11" ht="16.5" customHeight="1" x14ac:dyDescent="0.2">
      <c r="A39" s="46" t="str">
        <f>IF(F12="нет","-",F12)</f>
        <v>-</v>
      </c>
      <c r="B39" s="59"/>
      <c r="C39" s="54"/>
      <c r="D39" s="60"/>
      <c r="E39" s="54"/>
      <c r="F39" s="60"/>
      <c r="G39" s="54">
        <f>IF($F$12&lt;&gt;"нет",1,0)</f>
        <v>0</v>
      </c>
      <c r="H39" s="60"/>
      <c r="I39" s="56"/>
      <c r="K39" s="9"/>
    </row>
    <row r="40" spans="1:11" ht="16.5" customHeight="1" x14ac:dyDescent="0.2">
      <c r="A40" s="46" t="str">
        <f>IF(H12="нет","-",H12)</f>
        <v>-</v>
      </c>
      <c r="B40" s="59"/>
      <c r="C40" s="54"/>
      <c r="D40" s="60"/>
      <c r="E40" s="54"/>
      <c r="F40" s="60"/>
      <c r="G40" s="54"/>
      <c r="H40" s="60"/>
      <c r="I40" s="56">
        <f>IF($H$12&lt;&gt;"нет",1,0)</f>
        <v>0</v>
      </c>
      <c r="K40" s="9"/>
    </row>
    <row r="41" spans="1:11" ht="16.5" customHeight="1" x14ac:dyDescent="0.2">
      <c r="A41" s="73" t="s">
        <v>18</v>
      </c>
      <c r="B41" s="78"/>
      <c r="C41" s="79"/>
      <c r="D41" s="80"/>
      <c r="E41" s="79"/>
      <c r="F41" s="82"/>
      <c r="G41" s="79"/>
      <c r="H41" s="82"/>
      <c r="I41" s="78"/>
      <c r="K41" s="9"/>
    </row>
    <row r="42" spans="1:11" ht="16.5" customHeight="1" x14ac:dyDescent="0.2">
      <c r="A42" s="46" t="str">
        <f>IF(B13="нет","-",B13)</f>
        <v>-</v>
      </c>
      <c r="B42" s="59"/>
      <c r="C42" s="54">
        <f>IF($B$13&lt;&gt;"нет",1,0)</f>
        <v>0</v>
      </c>
      <c r="D42" s="60"/>
      <c r="E42" s="54"/>
      <c r="F42" s="60"/>
      <c r="G42" s="54"/>
      <c r="H42" s="60"/>
      <c r="I42" s="56"/>
      <c r="K42" s="9"/>
    </row>
    <row r="43" spans="1:11" ht="16.5" customHeight="1" x14ac:dyDescent="0.2">
      <c r="A43" s="46" t="str">
        <f>IF(D13="нет","-",D13)</f>
        <v>-</v>
      </c>
      <c r="B43" s="59"/>
      <c r="C43" s="54"/>
      <c r="D43" s="60"/>
      <c r="E43" s="54">
        <f>IF($D$13&lt;&gt;"нет",1,0)</f>
        <v>0</v>
      </c>
      <c r="F43" s="60"/>
      <c r="G43" s="54"/>
      <c r="H43" s="60"/>
      <c r="I43" s="56"/>
      <c r="K43" s="9"/>
    </row>
    <row r="44" spans="1:11" ht="16.5" customHeight="1" x14ac:dyDescent="0.2">
      <c r="A44" s="46" t="str">
        <f>IF(F13="нет","-",F13)</f>
        <v>-</v>
      </c>
      <c r="B44" s="59"/>
      <c r="C44" s="54"/>
      <c r="D44" s="60"/>
      <c r="E44" s="54"/>
      <c r="F44" s="60"/>
      <c r="G44" s="54">
        <f>IF($F$13&lt;&gt;"нет",1,0)</f>
        <v>0</v>
      </c>
      <c r="H44" s="60"/>
      <c r="I44" s="56"/>
      <c r="K44" s="9"/>
    </row>
    <row r="45" spans="1:11" ht="16.5" customHeight="1" x14ac:dyDescent="0.2">
      <c r="A45" s="46" t="str">
        <f>IF(H13="нет","-",H13)</f>
        <v>-</v>
      </c>
      <c r="B45" s="59"/>
      <c r="C45" s="54"/>
      <c r="D45" s="60"/>
      <c r="E45" s="54"/>
      <c r="F45" s="60"/>
      <c r="G45" s="54"/>
      <c r="H45" s="60"/>
      <c r="I45" s="56">
        <f>IF($H$13&lt;&gt;"нет",1,0)</f>
        <v>0</v>
      </c>
      <c r="K45" s="9"/>
    </row>
    <row r="46" spans="1:11" ht="16.5" customHeight="1" x14ac:dyDescent="0.2">
      <c r="A46" s="73" t="s">
        <v>39</v>
      </c>
      <c r="B46" s="78"/>
      <c r="C46" s="79"/>
      <c r="D46" s="83"/>
      <c r="E46" s="84"/>
      <c r="F46" s="82"/>
      <c r="G46" s="79"/>
      <c r="H46" s="82"/>
      <c r="I46" s="78"/>
      <c r="K46" s="11"/>
    </row>
    <row r="47" spans="1:11" ht="16.5" customHeight="1" x14ac:dyDescent="0.2">
      <c r="A47" s="46" t="s">
        <v>125</v>
      </c>
      <c r="B47" s="53" t="str">
        <f>VLOOKUP(B12,Данные!$A$35:$M$40,4,FALSE)</f>
        <v>-</v>
      </c>
      <c r="C47" s="54">
        <f>VLOOKUP(B12,Данные!$A$35:$M$40,2,FALSE)</f>
        <v>0</v>
      </c>
      <c r="D47" s="55" t="str">
        <f>VLOOKUP(D12,Данные!$A$35:$M$40,4,FALSE)</f>
        <v>-</v>
      </c>
      <c r="E47" s="54">
        <f>VLOOKUP(D12,Данные!$A$35:$M$40,2,FALSE)</f>
        <v>0</v>
      </c>
      <c r="F47" s="55" t="str">
        <f>VLOOKUP(F12,Данные!$A$35:$M$40,4,FALSE)</f>
        <v>-</v>
      </c>
      <c r="G47" s="54">
        <f>VLOOKUP(F12,Данные!$A$35:$M$40,2,FALSE)</f>
        <v>0</v>
      </c>
      <c r="H47" s="55" t="str">
        <f>VLOOKUP(H12,Данные!$A$35:$M$40,4,FALSE)</f>
        <v>-</v>
      </c>
      <c r="I47" s="56">
        <f>VLOOKUP(H12,Данные!$A$35:$M$40,2,FALSE)</f>
        <v>0</v>
      </c>
      <c r="K47" s="11"/>
    </row>
    <row r="48" spans="1:11" ht="16.5" customHeight="1" x14ac:dyDescent="0.2">
      <c r="A48" s="46" t="s">
        <v>65</v>
      </c>
      <c r="B48" s="53" t="str">
        <f>VLOOKUP(B12,Данные!$A$35:$M$40,6,FALSE)</f>
        <v>-</v>
      </c>
      <c r="C48" s="61">
        <f>VLOOKUP(B12,Данные!$A$35:$M$40,5,FALSE)</f>
        <v>0</v>
      </c>
      <c r="D48" s="55" t="str">
        <f>VLOOKUP(D12,Данные!$A$35:$M$40,6,FALSE)</f>
        <v>-</v>
      </c>
      <c r="E48" s="61">
        <f>VLOOKUP(D12,Данные!$A$35:$M$40,5,FALSE)</f>
        <v>0</v>
      </c>
      <c r="F48" s="55" t="str">
        <f>VLOOKUP(F12,Данные!$A$35:$M$40,6,FALSE)</f>
        <v>-</v>
      </c>
      <c r="G48" s="61">
        <f>VLOOKUP(F12,Данные!$A$35:$M$40,5,FALSE)</f>
        <v>0</v>
      </c>
      <c r="H48" s="55" t="str">
        <f>VLOOKUP(H12,Данные!$A$35:$M$40,6,FALSE)</f>
        <v>-</v>
      </c>
      <c r="I48" s="53">
        <f>VLOOKUP(H12,Данные!$A$35:$M$40,5,FALSE)</f>
        <v>0</v>
      </c>
      <c r="K48" s="11"/>
    </row>
    <row r="49" spans="1:33" ht="16.5" customHeight="1" x14ac:dyDescent="0.2">
      <c r="A49" s="46" t="s">
        <v>143</v>
      </c>
      <c r="B49" s="53" t="str">
        <f>VLOOKUP(B12,Данные!$A$35:$M$40,8,FALSE)</f>
        <v>-</v>
      </c>
      <c r="C49" s="61">
        <f>VLOOKUP(B12,Данные!$A$35:$M$40,7,FALSE)</f>
        <v>0</v>
      </c>
      <c r="D49" s="55" t="str">
        <f>VLOOKUP(D12,Данные!$A$35:$M$40,8,FALSE)</f>
        <v>-</v>
      </c>
      <c r="E49" s="61">
        <f>VLOOKUP(D12,Данные!$A$35:$M$40,7,FALSE)</f>
        <v>0</v>
      </c>
      <c r="F49" s="55" t="str">
        <f>VLOOKUP(F12,Данные!$A$35:$M$40,8,FALSE)</f>
        <v>-</v>
      </c>
      <c r="G49" s="61">
        <f>VLOOKUP(F12,Данные!$A$35:$M$40,7,FALSE)</f>
        <v>0</v>
      </c>
      <c r="H49" s="55" t="str">
        <f>VLOOKUP(H12,Данные!$A$35:$M$40,8,FALSE)</f>
        <v>-</v>
      </c>
      <c r="I49" s="53">
        <f>VLOOKUP(H12,Данные!$A$35:$M$40,7,FALSE)</f>
        <v>0</v>
      </c>
      <c r="K49" s="11"/>
    </row>
    <row r="50" spans="1:33" ht="16.5" customHeight="1" x14ac:dyDescent="0.2">
      <c r="A50" s="46" t="s">
        <v>12</v>
      </c>
      <c r="B50" s="53" t="str">
        <f>IF(C50=0,"-","5,5х19")</f>
        <v>-</v>
      </c>
      <c r="C50" s="54">
        <f>VLOOKUP(B12,Данные!$A$35:$M$40,12,FALSE)</f>
        <v>0</v>
      </c>
      <c r="D50" s="55" t="str">
        <f>IF(E50=0,"-","5,5х19")</f>
        <v>-</v>
      </c>
      <c r="E50" s="54">
        <f>VLOOKUP(D12,Данные!$A$35:$M$40,12,FALSE)</f>
        <v>0</v>
      </c>
      <c r="F50" s="55" t="str">
        <f>IF(G50=0,"-","5,5х19")</f>
        <v>-</v>
      </c>
      <c r="G50" s="54">
        <f>VLOOKUP(F12,Данные!$A$35:$M$40,12,FALSE)</f>
        <v>0</v>
      </c>
      <c r="H50" s="55" t="str">
        <f>IF(I50=0,"-","5,5х19")</f>
        <v>-</v>
      </c>
      <c r="I50" s="56">
        <f>VLOOKUP(H12,Данные!$A$35:$M$40,12,FALSE)</f>
        <v>0</v>
      </c>
      <c r="K50" s="11"/>
    </row>
    <row r="51" spans="1:33" ht="16.5" customHeight="1" x14ac:dyDescent="0.2">
      <c r="A51" s="109" t="s">
        <v>46</v>
      </c>
      <c r="B51" s="53" t="s">
        <v>10</v>
      </c>
      <c r="C51" s="54">
        <f>VLOOKUP(B12,Данные!$A$35:$M$40,9,FALSE)</f>
        <v>0</v>
      </c>
      <c r="D51" s="55" t="s">
        <v>10</v>
      </c>
      <c r="E51" s="54">
        <f>VLOOKUP(D12,Данные!$A$35:$M$40,9,FALSE)</f>
        <v>0</v>
      </c>
      <c r="F51" s="55" t="s">
        <v>10</v>
      </c>
      <c r="G51" s="54">
        <f>VLOOKUP(F12,Данные!$A$35:$M$40,9,FALSE)</f>
        <v>0</v>
      </c>
      <c r="H51" s="55" t="s">
        <v>10</v>
      </c>
      <c r="I51" s="56">
        <f>VLOOKUP(H12,Данные!$A$35:$M$40,9,FALSE)</f>
        <v>0</v>
      </c>
      <c r="K51" s="11"/>
    </row>
    <row r="52" spans="1:33" ht="16.5" customHeight="1" x14ac:dyDescent="0.2">
      <c r="A52" s="109" t="s">
        <v>48</v>
      </c>
      <c r="B52" s="53" t="s">
        <v>10</v>
      </c>
      <c r="C52" s="54">
        <f>VLOOKUP(B12,Данные!$A$35:$M$40,10,FALSE)</f>
        <v>0</v>
      </c>
      <c r="D52" s="55" t="s">
        <v>10</v>
      </c>
      <c r="E52" s="54">
        <f>VLOOKUP(D12,Данные!$A$35:$M$40,10,FALSE)</f>
        <v>0</v>
      </c>
      <c r="F52" s="55" t="s">
        <v>10</v>
      </c>
      <c r="G52" s="54">
        <f>VLOOKUP(F12,Данные!$A$35:$M$40,10,FALSE)</f>
        <v>0</v>
      </c>
      <c r="H52" s="55" t="s">
        <v>10</v>
      </c>
      <c r="I52" s="56">
        <f>VLOOKUP(H12,Данные!$A$35:$M$40,10,FALSE)</f>
        <v>0</v>
      </c>
      <c r="K52" s="11"/>
    </row>
    <row r="53" spans="1:33" ht="16.5" customHeight="1" x14ac:dyDescent="0.2">
      <c r="A53" s="109" t="s">
        <v>199</v>
      </c>
      <c r="B53" s="53" t="s">
        <v>10</v>
      </c>
      <c r="C53" s="54">
        <f>VLOOKUP(B12,Данные!$A$35:$M$40,11,FALSE)</f>
        <v>0</v>
      </c>
      <c r="D53" s="55" t="s">
        <v>10</v>
      </c>
      <c r="E53" s="54">
        <f>VLOOKUP(D12,Данные!$A$35:$M$40,11,FALSE)</f>
        <v>0</v>
      </c>
      <c r="F53" s="55" t="s">
        <v>10</v>
      </c>
      <c r="G53" s="54">
        <f>VLOOKUP(F12,Данные!$A$35:$M$40,11,FALSE)</f>
        <v>0</v>
      </c>
      <c r="H53" s="55" t="s">
        <v>10</v>
      </c>
      <c r="I53" s="56">
        <f>VLOOKUP(H12,Данные!$A$35:$M$40,11,FALSE)</f>
        <v>0</v>
      </c>
      <c r="K53" s="11"/>
    </row>
    <row r="54" spans="1:33" ht="16.5" customHeight="1" x14ac:dyDescent="0.2">
      <c r="A54" s="73" t="s">
        <v>49</v>
      </c>
      <c r="B54" s="78"/>
      <c r="C54" s="79"/>
      <c r="D54" s="82"/>
      <c r="E54" s="79"/>
      <c r="F54" s="82"/>
      <c r="G54" s="79"/>
      <c r="H54" s="82"/>
      <c r="I54" s="78"/>
      <c r="K54" s="11"/>
    </row>
    <row r="55" spans="1:33" ht="16.5" customHeight="1" x14ac:dyDescent="0.2">
      <c r="A55" s="46" t="s">
        <v>225</v>
      </c>
      <c r="B55" s="53" t="str">
        <f>IF(C55=0,"-",VLOOKUP(B13,Данные!$A$42:$M$65,4,FALSE))</f>
        <v>-</v>
      </c>
      <c r="C55" s="54">
        <f>VLOOKUP(B13,Данные!$A$42:$M$65,2,FALSE)</f>
        <v>0</v>
      </c>
      <c r="D55" s="53" t="str">
        <f>IF(E55=0,"-",VLOOKUP(D13,Данные!$A$42:$M$65,4,FALSE))</f>
        <v>-</v>
      </c>
      <c r="E55" s="54">
        <f>VLOOKUP(D13,Данные!$A$42:$M$65,2,FALSE)</f>
        <v>0</v>
      </c>
      <c r="F55" s="53" t="str">
        <f>IF(G55=0,"-",VLOOKUP(F13,Данные!$A$42:$M$65,4,FALSE))</f>
        <v>-</v>
      </c>
      <c r="G55" s="54">
        <f>VLOOKUP(F13,Данные!$A$42:$M$65,2,FALSE)</f>
        <v>0</v>
      </c>
      <c r="H55" s="53" t="str">
        <f>IF(I55=0,"-",VLOOKUP(H13,Данные!$A$42:$M$65,4,FALSE))</f>
        <v>-</v>
      </c>
      <c r="I55" s="56">
        <f>VLOOKUP(H13,Данные!$A$42:$M$65,2,FALSE)</f>
        <v>0</v>
      </c>
      <c r="K55" s="11"/>
    </row>
    <row r="56" spans="1:33" ht="16.5" customHeight="1" x14ac:dyDescent="0.2">
      <c r="A56" s="46" t="s">
        <v>226</v>
      </c>
      <c r="B56" s="53" t="str">
        <f>IF(C56=0,"-",VLOOKUP(B13,Данные!$A$42:$R$65,16,FALSE))</f>
        <v>-</v>
      </c>
      <c r="C56" s="54">
        <f>VLOOKUP(B13,Данные!$A$42:$R$65,14,FALSE)</f>
        <v>0</v>
      </c>
      <c r="D56" s="53" t="str">
        <f>IF(E56=0,"-",VLOOKUP(D13,Данные!$A$42:$R$65,16,FALSE))</f>
        <v>-</v>
      </c>
      <c r="E56" s="54">
        <f>VLOOKUP(D13,Данные!$A$42:$R$65,14,FALSE)</f>
        <v>0</v>
      </c>
      <c r="F56" s="53" t="str">
        <f>IF(G56=0,"-",VLOOKUP(F13,Данные!$A$42:$R$65,16,FALSE))</f>
        <v>-</v>
      </c>
      <c r="G56" s="54">
        <f>VLOOKUP(F13,Данные!$A$42:$R$65,14,FALSE)</f>
        <v>0</v>
      </c>
      <c r="H56" s="53" t="str">
        <f>IF(I56=0,"-",VLOOKUP(H13,Данные!$A$42:$R$65,16,FALSE))</f>
        <v>-</v>
      </c>
      <c r="I56" s="56">
        <f>VLOOKUP(H13,Данные!$A$42:$R$65,14,FALSE)</f>
        <v>0</v>
      </c>
      <c r="K56" s="110"/>
    </row>
    <row r="57" spans="1:33" ht="16.5" customHeight="1" x14ac:dyDescent="0.2">
      <c r="A57" s="46" t="s">
        <v>65</v>
      </c>
      <c r="B57" s="53" t="str">
        <f>VLOOKUP(B13,Данные!$A$42:$M$65,6,FALSE)</f>
        <v>-</v>
      </c>
      <c r="C57" s="54">
        <f>VLOOKUP(B13,Данные!$A$42:$M$65,5,FALSE)</f>
        <v>0</v>
      </c>
      <c r="D57" s="53" t="str">
        <f>VLOOKUP(D13,Данные!$A$42:$M$65,6,FALSE)</f>
        <v>-</v>
      </c>
      <c r="E57" s="54">
        <f>VLOOKUP(D13,Данные!$A$42:$M$65,5,FALSE)</f>
        <v>0</v>
      </c>
      <c r="F57" s="53" t="str">
        <f>VLOOKUP(F13,Данные!$A$42:$M$65,6,FALSE)</f>
        <v>-</v>
      </c>
      <c r="G57" s="54">
        <f>VLOOKUP(F13,Данные!$A$42:$M$65,5,FALSE)</f>
        <v>0</v>
      </c>
      <c r="H57" s="53" t="str">
        <f>VLOOKUP(H13,Данные!$A$42:$M$65,6,FALSE)</f>
        <v>-</v>
      </c>
      <c r="I57" s="56">
        <f>VLOOKUP(H13,Данные!$A$42:$M$65,5,FALSE)</f>
        <v>0</v>
      </c>
      <c r="K57" s="11"/>
      <c r="R57" s="12"/>
      <c r="S57" s="6"/>
      <c r="T57" s="6"/>
      <c r="U57" s="6"/>
      <c r="V57" s="6"/>
      <c r="W57" s="6"/>
      <c r="X57" s="6"/>
      <c r="Y57" s="6"/>
      <c r="Z57" s="13"/>
      <c r="AA57" s="11"/>
      <c r="AB57" s="14"/>
      <c r="AC57" s="14"/>
      <c r="AD57" s="14"/>
    </row>
    <row r="58" spans="1:33" ht="16.5" customHeight="1" x14ac:dyDescent="0.2">
      <c r="A58" s="46" t="s">
        <v>239</v>
      </c>
      <c r="B58" s="53" t="str">
        <f>VLOOKUP(B13,Данные!$A$42:$M$65,8,FALSE)</f>
        <v>-</v>
      </c>
      <c r="C58" s="54">
        <f>VLOOKUP(B13,Данные!$A$42:$M$65,7,FALSE)</f>
        <v>0</v>
      </c>
      <c r="D58" s="53" t="str">
        <f>VLOOKUP(D13,Данные!$A$42:$M$65,8,FALSE)</f>
        <v>-</v>
      </c>
      <c r="E58" s="54">
        <f>VLOOKUP(D13,Данные!$A$42:$M$65,7,FALSE)</f>
        <v>0</v>
      </c>
      <c r="F58" s="53" t="str">
        <f>VLOOKUP(F13,Данные!$A$42:$M$65,8,FALSE)</f>
        <v>-</v>
      </c>
      <c r="G58" s="54">
        <f>VLOOKUP(F13,Данные!$A$42:$M$65,7,FALSE)</f>
        <v>0</v>
      </c>
      <c r="H58" s="53" t="str">
        <f>VLOOKUP(H13,Данные!$A$42:$M$65,8,FALSE)</f>
        <v>-</v>
      </c>
      <c r="I58" s="56">
        <f>VLOOKUP(H13,Данные!$A$42:$M$65,7,FALSE)</f>
        <v>0</v>
      </c>
      <c r="K58" s="11"/>
      <c r="R58" s="12"/>
      <c r="S58" s="6"/>
      <c r="T58" s="6"/>
      <c r="U58" s="6"/>
      <c r="V58" s="6"/>
      <c r="W58" s="6"/>
      <c r="X58" s="6"/>
      <c r="Y58" s="6"/>
      <c r="Z58" s="13"/>
      <c r="AA58" s="11"/>
      <c r="AB58" s="14"/>
      <c r="AC58" s="14"/>
      <c r="AD58" s="14"/>
    </row>
    <row r="59" spans="1:33" ht="16.5" customHeight="1" x14ac:dyDescent="0.2">
      <c r="A59" s="46" t="s">
        <v>240</v>
      </c>
      <c r="B59" s="53" t="str">
        <f>IF(C59=0,"-",VLOOKUP(B13,Данные!$A$42:$R$65,18,FALSE))</f>
        <v>-</v>
      </c>
      <c r="C59" s="54">
        <f>VLOOKUP(B13,Данные!$A$42:$R$65,17,FALSE)</f>
        <v>0</v>
      </c>
      <c r="D59" s="53" t="str">
        <f>IF(E59=0,"-",VLOOKUP(D13,Данные!$A$42:$R$65,18,FALSE))</f>
        <v>-</v>
      </c>
      <c r="E59" s="54">
        <f>VLOOKUP(D13,Данные!$A$42:$R$65,17,FALSE)</f>
        <v>0</v>
      </c>
      <c r="F59" s="53" t="str">
        <f>IF(G59=0,"-",VLOOKUP(F13,Данные!$A$42:$R$65,18,FALSE))</f>
        <v>-</v>
      </c>
      <c r="G59" s="54">
        <f>VLOOKUP(F13,Данные!$A$42:$R$65,17,FALSE)</f>
        <v>0</v>
      </c>
      <c r="H59" s="53" t="str">
        <f>IF(I59=0,"-",VLOOKUP(H13,Данные!$A$42:$R$65,18,FALSE))</f>
        <v>-</v>
      </c>
      <c r="I59" s="56">
        <f>VLOOKUP(H13,Данные!$A$42:$R$65,17,FALSE)</f>
        <v>0</v>
      </c>
      <c r="K59" s="110"/>
      <c r="R59" s="12"/>
      <c r="S59" s="6"/>
      <c r="T59" s="6"/>
      <c r="U59" s="6"/>
      <c r="V59" s="6"/>
      <c r="W59" s="6"/>
      <c r="X59" s="6"/>
      <c r="Y59" s="6"/>
      <c r="Z59" s="13"/>
      <c r="AA59" s="110"/>
      <c r="AB59" s="14"/>
      <c r="AC59" s="14"/>
      <c r="AD59" s="14"/>
    </row>
    <row r="60" spans="1:33" ht="16.5" customHeight="1" x14ac:dyDescent="0.2">
      <c r="A60" s="46" t="s">
        <v>12</v>
      </c>
      <c r="B60" s="53" t="str">
        <f>IF(C60=0,"-","5,5х19")</f>
        <v>-</v>
      </c>
      <c r="C60" s="54">
        <f>VLOOKUP(B13,Данные!$A$42:$M$65,12,FALSE)</f>
        <v>0</v>
      </c>
      <c r="D60" s="53" t="str">
        <f>IF(E60=0,"-","5,5х19")</f>
        <v>-</v>
      </c>
      <c r="E60" s="54">
        <f>VLOOKUP(D13,Данные!$A$42:$M$65,12,FALSE)</f>
        <v>0</v>
      </c>
      <c r="F60" s="53" t="str">
        <f>IF(G60=0,"-","5,5х19")</f>
        <v>-</v>
      </c>
      <c r="G60" s="54">
        <f>VLOOKUP(F13,Данные!$A$42:$M$65,12,FALSE)</f>
        <v>0</v>
      </c>
      <c r="H60" s="53" t="str">
        <f>IF(I60=0,"-","5,5х19")</f>
        <v>-</v>
      </c>
      <c r="I60" s="56">
        <f>VLOOKUP(H13,Данные!$A$42:$M$65,12,FALSE)</f>
        <v>0</v>
      </c>
      <c r="K60" s="11"/>
      <c r="R60" s="12"/>
      <c r="S60" s="6"/>
      <c r="T60" s="6"/>
      <c r="U60" s="6"/>
      <c r="V60" s="6"/>
      <c r="W60" s="6"/>
      <c r="X60" s="6"/>
      <c r="Y60" s="6"/>
      <c r="Z60" s="14"/>
      <c r="AA60" s="14"/>
      <c r="AB60" s="15"/>
      <c r="AC60" s="14"/>
      <c r="AD60" s="11"/>
      <c r="AE60" s="14"/>
      <c r="AF60" s="14"/>
      <c r="AG60" s="14"/>
    </row>
    <row r="61" spans="1:33" ht="16.5" customHeight="1" x14ac:dyDescent="0.2">
      <c r="A61" s="109" t="s">
        <v>46</v>
      </c>
      <c r="B61" s="53" t="s">
        <v>10</v>
      </c>
      <c r="C61" s="54">
        <f>VLOOKUP(B13,Данные!$A$42:$M$65,9,FALSE)</f>
        <v>0</v>
      </c>
      <c r="D61" s="53" t="s">
        <v>10</v>
      </c>
      <c r="E61" s="54">
        <f>VLOOKUP(D13,Данные!$A$42:$M$65,9,FALSE)</f>
        <v>0</v>
      </c>
      <c r="F61" s="53" t="s">
        <v>10</v>
      </c>
      <c r="G61" s="54">
        <f>VLOOKUP(F13,Данные!$A$42:$M$65,9,FALSE)</f>
        <v>0</v>
      </c>
      <c r="H61" s="53" t="s">
        <v>10</v>
      </c>
      <c r="I61" s="56">
        <f>VLOOKUP(H13,Данные!$A$42:$M$65,9,FALSE)</f>
        <v>0</v>
      </c>
      <c r="K61" s="11"/>
      <c r="R61" s="12"/>
      <c r="S61" s="6"/>
      <c r="T61" s="6"/>
      <c r="U61" s="6"/>
      <c r="V61" s="6"/>
      <c r="W61" s="6"/>
      <c r="X61" s="6"/>
      <c r="Y61" s="6"/>
      <c r="Z61" s="16"/>
      <c r="AA61" s="14"/>
      <c r="AB61" s="15"/>
      <c r="AC61" s="14"/>
      <c r="AD61" s="11"/>
      <c r="AE61" s="14"/>
      <c r="AF61" s="14"/>
      <c r="AG61" s="14"/>
    </row>
    <row r="62" spans="1:33" ht="16.5" customHeight="1" x14ac:dyDescent="0.2">
      <c r="A62" s="109" t="s">
        <v>48</v>
      </c>
      <c r="B62" s="53" t="s">
        <v>10</v>
      </c>
      <c r="C62" s="54">
        <f>VLOOKUP(B13,Данные!$A$42:$M$65,10,FALSE)</f>
        <v>0</v>
      </c>
      <c r="D62" s="53" t="s">
        <v>10</v>
      </c>
      <c r="E62" s="54">
        <f>VLOOKUP(D13,Данные!$A$42:$M$65,10,FALSE)</f>
        <v>0</v>
      </c>
      <c r="F62" s="53" t="s">
        <v>10</v>
      </c>
      <c r="G62" s="54">
        <f>VLOOKUP(F13,Данные!$A$42:$M$65,10,FALSE)</f>
        <v>0</v>
      </c>
      <c r="H62" s="53" t="s">
        <v>10</v>
      </c>
      <c r="I62" s="56">
        <f>VLOOKUP(H13,Данные!$A$42:$M$65,10,FALSE)</f>
        <v>0</v>
      </c>
      <c r="K62" s="11"/>
      <c r="R62" s="12"/>
      <c r="S62" s="6"/>
      <c r="T62" s="6"/>
      <c r="U62" s="6"/>
      <c r="V62" s="6"/>
      <c r="W62" s="6"/>
      <c r="X62" s="6"/>
      <c r="Y62" s="6"/>
      <c r="Z62" s="16"/>
      <c r="AA62" s="14"/>
      <c r="AB62" s="15"/>
      <c r="AC62" s="14"/>
      <c r="AD62" s="11"/>
      <c r="AE62" s="14"/>
      <c r="AF62" s="14"/>
      <c r="AG62" s="14"/>
    </row>
    <row r="63" spans="1:33" ht="16.5" customHeight="1" x14ac:dyDescent="0.2">
      <c r="A63" s="109" t="s">
        <v>199</v>
      </c>
      <c r="B63" s="53" t="s">
        <v>10</v>
      </c>
      <c r="C63" s="54">
        <f>VLOOKUP(B13,Данные!$A$42:$M$65,11,FALSE)</f>
        <v>0</v>
      </c>
      <c r="D63" s="53" t="s">
        <v>10</v>
      </c>
      <c r="E63" s="54">
        <f>VLOOKUP(D13,Данные!$A$42:$M$65,11,FALSE)</f>
        <v>0</v>
      </c>
      <c r="F63" s="53" t="s">
        <v>10</v>
      </c>
      <c r="G63" s="54">
        <f>VLOOKUP(F13,Данные!$A$42:$M$65,11,FALSE)</f>
        <v>0</v>
      </c>
      <c r="H63" s="53" t="s">
        <v>10</v>
      </c>
      <c r="I63" s="56">
        <f>VLOOKUP(H13,Данные!$A$42:$M$65,11,FALSE)</f>
        <v>0</v>
      </c>
      <c r="K63" s="11"/>
      <c r="R63" s="12"/>
      <c r="S63" s="6"/>
      <c r="T63" s="6"/>
      <c r="U63" s="6"/>
      <c r="V63" s="6"/>
      <c r="W63" s="6"/>
      <c r="X63" s="6"/>
      <c r="Y63" s="6"/>
      <c r="Z63" s="16"/>
      <c r="AA63" s="14"/>
      <c r="AB63" s="15"/>
      <c r="AC63" s="14"/>
      <c r="AD63" s="11"/>
      <c r="AE63" s="14"/>
      <c r="AF63" s="14"/>
      <c r="AG63" s="14"/>
    </row>
    <row r="64" spans="1:33" ht="16.5" customHeight="1" x14ac:dyDescent="0.2">
      <c r="A64" s="73" t="s">
        <v>221</v>
      </c>
      <c r="B64" s="78"/>
      <c r="C64" s="79"/>
      <c r="D64" s="82"/>
      <c r="E64" s="79"/>
      <c r="F64" s="82"/>
      <c r="G64" s="79"/>
      <c r="H64" s="82"/>
      <c r="I64" s="78"/>
      <c r="K64" s="11"/>
      <c r="R64" s="12"/>
      <c r="S64" s="6"/>
      <c r="T64" s="6"/>
      <c r="U64" s="6"/>
      <c r="V64" s="6"/>
      <c r="W64" s="6"/>
      <c r="X64" s="6"/>
      <c r="Y64" s="6"/>
      <c r="Z64" s="16"/>
      <c r="AA64" s="14"/>
      <c r="AB64" s="15"/>
      <c r="AC64" s="14"/>
      <c r="AD64" s="11"/>
      <c r="AE64" s="14"/>
      <c r="AF64" s="14"/>
      <c r="AG64" s="14"/>
    </row>
    <row r="65" spans="1:33" s="97" customFormat="1" ht="16.5" customHeight="1" x14ac:dyDescent="0.2">
      <c r="A65" s="109" t="s">
        <v>12</v>
      </c>
      <c r="B65" s="57" t="s">
        <v>179</v>
      </c>
      <c r="C65" s="54">
        <f>C29+C50+C60</f>
        <v>0</v>
      </c>
      <c r="D65" s="57" t="s">
        <v>179</v>
      </c>
      <c r="E65" s="54">
        <f>E29+E50+E60</f>
        <v>0</v>
      </c>
      <c r="F65" s="57" t="s">
        <v>179</v>
      </c>
      <c r="G65" s="54">
        <f>G29+G50+G60</f>
        <v>0</v>
      </c>
      <c r="H65" s="57" t="s">
        <v>179</v>
      </c>
      <c r="I65" s="56">
        <f>I29+I50+I60</f>
        <v>0</v>
      </c>
      <c r="K65" s="94"/>
      <c r="R65" s="98"/>
      <c r="S65" s="99"/>
      <c r="T65" s="99"/>
      <c r="U65" s="99"/>
      <c r="V65" s="99"/>
      <c r="W65" s="99"/>
      <c r="X65" s="99"/>
      <c r="Y65" s="99"/>
      <c r="Z65" s="100"/>
      <c r="AA65" s="101"/>
      <c r="AB65" s="102"/>
      <c r="AC65" s="101"/>
      <c r="AD65" s="94"/>
      <c r="AE65" s="101"/>
      <c r="AF65" s="101"/>
      <c r="AG65" s="101"/>
    </row>
    <row r="66" spans="1:33" s="97" customFormat="1" ht="16.5" customHeight="1" x14ac:dyDescent="0.2">
      <c r="A66" s="46" t="s">
        <v>13</v>
      </c>
      <c r="B66" s="57" t="s">
        <v>181</v>
      </c>
      <c r="C66" s="54">
        <f>C30</f>
        <v>0</v>
      </c>
      <c r="D66" s="57" t="s">
        <v>181</v>
      </c>
      <c r="E66" s="54">
        <f>E30</f>
        <v>0</v>
      </c>
      <c r="F66" s="57" t="s">
        <v>181</v>
      </c>
      <c r="G66" s="54">
        <f>G30</f>
        <v>0</v>
      </c>
      <c r="H66" s="57" t="s">
        <v>181</v>
      </c>
      <c r="I66" s="56">
        <f>I30</f>
        <v>0</v>
      </c>
      <c r="K66" s="94"/>
      <c r="R66" s="98"/>
      <c r="S66" s="99"/>
      <c r="T66" s="99"/>
      <c r="U66" s="99"/>
      <c r="V66" s="99"/>
      <c r="W66" s="99"/>
      <c r="X66" s="99"/>
      <c r="Y66" s="99"/>
      <c r="Z66" s="100"/>
      <c r="AA66" s="101"/>
      <c r="AB66" s="102"/>
      <c r="AC66" s="101"/>
      <c r="AD66" s="94"/>
      <c r="AE66" s="101"/>
      <c r="AF66" s="101"/>
      <c r="AG66" s="101"/>
    </row>
    <row r="67" spans="1:33" s="97" customFormat="1" ht="16.5" customHeight="1" x14ac:dyDescent="0.2">
      <c r="A67" s="46" t="s">
        <v>301</v>
      </c>
      <c r="B67" s="57" t="s">
        <v>180</v>
      </c>
      <c r="C67" s="54">
        <f>C31</f>
        <v>0</v>
      </c>
      <c r="D67" s="57" t="s">
        <v>180</v>
      </c>
      <c r="E67" s="54">
        <f>E31</f>
        <v>0</v>
      </c>
      <c r="F67" s="57" t="s">
        <v>180</v>
      </c>
      <c r="G67" s="54">
        <f>G31</f>
        <v>0</v>
      </c>
      <c r="H67" s="57" t="s">
        <v>180</v>
      </c>
      <c r="I67" s="56">
        <f>I31</f>
        <v>0</v>
      </c>
      <c r="K67" s="94"/>
      <c r="R67" s="98"/>
      <c r="S67" s="99"/>
      <c r="T67" s="99"/>
      <c r="U67" s="99"/>
      <c r="V67" s="99"/>
      <c r="W67" s="99"/>
      <c r="X67" s="99"/>
      <c r="Y67" s="99"/>
      <c r="Z67" s="100"/>
      <c r="AA67" s="101"/>
      <c r="AB67" s="102"/>
      <c r="AC67" s="101"/>
      <c r="AD67" s="94"/>
      <c r="AE67" s="101"/>
      <c r="AF67" s="101"/>
      <c r="AG67" s="101"/>
    </row>
    <row r="68" spans="1:33" s="97" customFormat="1" ht="16.5" customHeight="1" x14ac:dyDescent="0.2">
      <c r="A68" s="46" t="s">
        <v>302</v>
      </c>
      <c r="B68" s="57"/>
      <c r="C68" s="54">
        <f>C32</f>
        <v>0</v>
      </c>
      <c r="D68" s="57"/>
      <c r="E68" s="54">
        <f>E32</f>
        <v>0</v>
      </c>
      <c r="F68" s="57"/>
      <c r="G68" s="54">
        <f>G32</f>
        <v>0</v>
      </c>
      <c r="H68" s="57"/>
      <c r="I68" s="56">
        <f>I32</f>
        <v>0</v>
      </c>
      <c r="K68" s="94"/>
      <c r="R68" s="98"/>
      <c r="S68" s="99"/>
      <c r="T68" s="99"/>
      <c r="U68" s="99"/>
      <c r="V68" s="99"/>
      <c r="W68" s="99"/>
      <c r="X68" s="99"/>
      <c r="Y68" s="99"/>
      <c r="Z68" s="100"/>
      <c r="AA68" s="101"/>
      <c r="AB68" s="102"/>
      <c r="AC68" s="101"/>
      <c r="AD68" s="94"/>
      <c r="AE68" s="101"/>
      <c r="AF68" s="101"/>
      <c r="AG68" s="101"/>
    </row>
    <row r="69" spans="1:33" ht="12.75" customHeight="1" x14ac:dyDescent="0.2">
      <c r="A69" s="12"/>
      <c r="B69" s="41"/>
      <c r="C69" s="11"/>
      <c r="D69" s="11"/>
      <c r="E69" s="11"/>
      <c r="F69" s="11"/>
      <c r="G69" s="11"/>
      <c r="H69" s="11"/>
      <c r="I69" s="11"/>
      <c r="J69" s="42"/>
      <c r="K69" s="11"/>
    </row>
    <row r="70" spans="1:33" ht="12.75" customHeight="1" x14ac:dyDescent="0.2">
      <c r="A70" s="42"/>
      <c r="B70" s="41"/>
      <c r="C70" s="11"/>
      <c r="D70" s="11"/>
      <c r="E70" s="11"/>
      <c r="F70" s="11"/>
      <c r="G70" s="11"/>
      <c r="H70" s="11"/>
      <c r="I70" s="11"/>
      <c r="J70" s="42"/>
      <c r="K70" s="11"/>
    </row>
    <row r="71" spans="1:33" ht="19.5" customHeight="1" x14ac:dyDescent="0.2">
      <c r="A71" s="173" t="s">
        <v>131</v>
      </c>
      <c r="B71" s="173"/>
      <c r="C71" s="173"/>
      <c r="D71" s="173"/>
      <c r="E71" s="173"/>
      <c r="F71" s="173"/>
      <c r="G71" s="173"/>
      <c r="H71" s="173"/>
      <c r="I71" s="173"/>
      <c r="J71" s="42"/>
      <c r="K71" s="11"/>
    </row>
    <row r="72" spans="1:33" x14ac:dyDescent="0.2">
      <c r="A72" s="159" t="s">
        <v>223</v>
      </c>
      <c r="B72" s="160"/>
      <c r="C72" s="160"/>
      <c r="D72" s="160"/>
      <c r="E72" s="160"/>
      <c r="F72" s="160"/>
      <c r="G72" s="160"/>
      <c r="H72" s="160"/>
      <c r="I72" s="161"/>
      <c r="J72" s="12"/>
    </row>
    <row r="73" spans="1:33" x14ac:dyDescent="0.2">
      <c r="A73" s="159" t="s">
        <v>224</v>
      </c>
      <c r="B73" s="160"/>
      <c r="C73" s="160"/>
      <c r="D73" s="160"/>
      <c r="E73" s="160"/>
      <c r="F73" s="160"/>
      <c r="G73" s="160"/>
      <c r="H73" s="160"/>
      <c r="I73" s="161"/>
      <c r="J73" s="12"/>
    </row>
    <row r="74" spans="1:33" ht="28.5" customHeight="1" x14ac:dyDescent="0.2">
      <c r="A74" s="156" t="s">
        <v>50</v>
      </c>
      <c r="B74" s="157"/>
      <c r="C74" s="157"/>
      <c r="D74" s="157"/>
      <c r="E74" s="157"/>
      <c r="F74" s="157"/>
      <c r="G74" s="157"/>
      <c r="H74" s="157"/>
      <c r="I74" s="158"/>
      <c r="J74" s="17"/>
      <c r="K74" s="17"/>
    </row>
    <row r="75" spans="1:33" ht="32.25" customHeight="1" x14ac:dyDescent="0.2">
      <c r="A75" s="156" t="s">
        <v>132</v>
      </c>
      <c r="B75" s="157"/>
      <c r="C75" s="157"/>
      <c r="D75" s="157"/>
      <c r="E75" s="157"/>
      <c r="F75" s="157"/>
      <c r="G75" s="157"/>
      <c r="H75" s="157"/>
      <c r="I75" s="158"/>
      <c r="J75" s="43"/>
      <c r="K75" s="37"/>
      <c r="L75" s="19"/>
      <c r="M75" s="19"/>
    </row>
    <row r="76" spans="1:33" x14ac:dyDescent="0.2">
      <c r="A76" s="156" t="s">
        <v>51</v>
      </c>
      <c r="B76" s="157"/>
      <c r="C76" s="157"/>
      <c r="D76" s="157"/>
      <c r="E76" s="157"/>
      <c r="F76" s="157"/>
      <c r="G76" s="157"/>
      <c r="H76" s="157"/>
      <c r="I76" s="158"/>
      <c r="J76" s="43"/>
      <c r="K76" s="37"/>
      <c r="L76" s="19"/>
      <c r="M76" s="19"/>
    </row>
    <row r="77" spans="1:33" ht="28.5" customHeight="1" x14ac:dyDescent="0.2">
      <c r="A77" s="156" t="s">
        <v>222</v>
      </c>
      <c r="B77" s="157"/>
      <c r="C77" s="157"/>
      <c r="D77" s="157"/>
      <c r="E77" s="157"/>
      <c r="F77" s="157"/>
      <c r="G77" s="157"/>
      <c r="H77" s="157"/>
      <c r="I77" s="158"/>
      <c r="J77" s="43"/>
      <c r="K77" s="37"/>
      <c r="L77" s="19"/>
      <c r="M77" s="19"/>
    </row>
    <row r="78" spans="1:33" ht="33.75" customHeight="1" x14ac:dyDescent="0.2">
      <c r="A78" s="156" t="s">
        <v>133</v>
      </c>
      <c r="B78" s="157"/>
      <c r="C78" s="157"/>
      <c r="D78" s="157"/>
      <c r="E78" s="157"/>
      <c r="F78" s="157"/>
      <c r="G78" s="157"/>
      <c r="H78" s="157"/>
      <c r="I78" s="158"/>
      <c r="J78" s="43"/>
      <c r="K78" s="37"/>
    </row>
    <row r="79" spans="1:33" ht="252.75" customHeight="1" x14ac:dyDescent="0.2">
      <c r="A79" s="166" t="s">
        <v>53</v>
      </c>
      <c r="B79" s="167"/>
      <c r="C79" s="167"/>
      <c r="D79" s="167"/>
      <c r="E79" s="167"/>
      <c r="F79" s="167"/>
      <c r="G79" s="167"/>
      <c r="H79" s="167"/>
      <c r="I79" s="168"/>
      <c r="J79" s="43"/>
      <c r="K79" s="37"/>
      <c r="L79" s="19"/>
      <c r="M79" s="19"/>
    </row>
    <row r="80" spans="1:33" x14ac:dyDescent="0.2">
      <c r="A80" s="20"/>
      <c r="B80" s="20"/>
      <c r="C80" s="20"/>
      <c r="D80" s="20"/>
      <c r="E80" s="20"/>
      <c r="F80" s="20"/>
      <c r="G80" s="20"/>
      <c r="H80" s="20"/>
    </row>
    <row r="81" spans="1:8" hidden="1" x14ac:dyDescent="0.2">
      <c r="A81" s="20"/>
      <c r="B81" s="20"/>
      <c r="C81" s="20"/>
      <c r="D81" s="20"/>
      <c r="E81" s="20"/>
      <c r="F81" s="20"/>
      <c r="G81" s="20"/>
      <c r="H81" s="20"/>
    </row>
    <row r="82" spans="1:8" ht="12.75" hidden="1" customHeight="1" x14ac:dyDescent="0.2">
      <c r="A82" s="20"/>
      <c r="B82" s="20"/>
      <c r="C82" s="20"/>
      <c r="D82" s="20"/>
      <c r="E82" s="20"/>
      <c r="F82" s="20"/>
      <c r="G82" s="20"/>
      <c r="H82" s="20"/>
    </row>
    <row r="83" spans="1:8" ht="12.75" hidden="1" customHeight="1" x14ac:dyDescent="0.2">
      <c r="A83" s="20"/>
      <c r="B83" s="20"/>
      <c r="C83" s="20"/>
      <c r="D83" s="20"/>
      <c r="E83" s="20"/>
      <c r="F83" s="20"/>
      <c r="G83" s="20"/>
      <c r="H83" s="20"/>
    </row>
    <row r="84" spans="1:8" ht="12.75" hidden="1" customHeight="1" x14ac:dyDescent="0.2">
      <c r="A84" s="20"/>
      <c r="B84" s="20"/>
      <c r="C84" s="20"/>
      <c r="D84" s="20"/>
      <c r="E84" s="20"/>
      <c r="F84" s="20"/>
      <c r="G84" s="20"/>
      <c r="H84" s="20"/>
    </row>
    <row r="85" spans="1:8" ht="12.75" hidden="1" customHeight="1" x14ac:dyDescent="0.2">
      <c r="A85" s="20"/>
      <c r="B85" s="20"/>
      <c r="C85" s="20"/>
      <c r="D85" s="20"/>
      <c r="E85" s="20"/>
      <c r="F85" s="20"/>
      <c r="G85" s="20"/>
      <c r="H85" s="20"/>
    </row>
    <row r="86" spans="1:8" ht="12.75" hidden="1" customHeight="1" x14ac:dyDescent="0.2">
      <c r="A86" s="20"/>
      <c r="B86" s="20"/>
      <c r="C86" s="20"/>
      <c r="D86" s="20"/>
      <c r="E86" s="20"/>
      <c r="F86" s="20"/>
      <c r="G86" s="20"/>
      <c r="H86" s="20"/>
    </row>
    <row r="87" spans="1:8" ht="12.75" hidden="1" customHeight="1" x14ac:dyDescent="0.2">
      <c r="A87" s="21"/>
      <c r="B87" s="21"/>
      <c r="C87" s="21"/>
      <c r="D87" s="21"/>
      <c r="E87" s="21"/>
      <c r="F87" s="21"/>
      <c r="G87" s="21"/>
      <c r="H87" s="21"/>
    </row>
    <row r="88" spans="1:8" ht="12.75" hidden="1" customHeight="1" x14ac:dyDescent="0.2">
      <c r="A88" s="21"/>
      <c r="B88" s="21"/>
      <c r="C88" s="21"/>
      <c r="D88" s="21"/>
      <c r="E88" s="21"/>
      <c r="F88" s="21"/>
      <c r="G88" s="21"/>
      <c r="H88" s="21"/>
    </row>
    <row r="89" spans="1:8" ht="12.75" hidden="1" customHeight="1" x14ac:dyDescent="0.2">
      <c r="A89" s="21"/>
      <c r="B89" s="21"/>
      <c r="C89" s="21"/>
      <c r="D89" s="21"/>
      <c r="E89" s="21"/>
      <c r="F89" s="21"/>
      <c r="G89" s="21"/>
      <c r="H89" s="21"/>
    </row>
    <row r="90" spans="1:8" ht="12.75" hidden="1" customHeight="1" x14ac:dyDescent="0.2">
      <c r="A90" s="21"/>
      <c r="B90" s="21"/>
      <c r="C90" s="21"/>
      <c r="D90" s="21"/>
      <c r="E90" s="21"/>
      <c r="F90" s="21"/>
      <c r="G90" s="21"/>
      <c r="H90" s="21"/>
    </row>
    <row r="91" spans="1:8" ht="12.75" hidden="1" customHeight="1" x14ac:dyDescent="0.2">
      <c r="H91" s="12"/>
    </row>
    <row r="92" spans="1:8" ht="12.75" hidden="1" customHeight="1" x14ac:dyDescent="0.2">
      <c r="H92" s="12"/>
    </row>
    <row r="93" spans="1:8" hidden="1" x14ac:dyDescent="0.2">
      <c r="H93" s="12"/>
    </row>
    <row r="94" spans="1:8" hidden="1" x14ac:dyDescent="0.2">
      <c r="A94" s="5"/>
      <c r="B94" s="5"/>
      <c r="H94" s="12"/>
    </row>
    <row r="95" spans="1:8" hidden="1" x14ac:dyDescent="0.2">
      <c r="A95" s="5"/>
      <c r="B95" s="47"/>
      <c r="H95" s="12"/>
    </row>
    <row r="96" spans="1:8" hidden="1" x14ac:dyDescent="0.2">
      <c r="A96" s="5"/>
      <c r="B96" s="47"/>
      <c r="H96" s="12"/>
    </row>
    <row r="97" spans="1:11" hidden="1" x14ac:dyDescent="0.2">
      <c r="A97" s="44"/>
      <c r="B97" s="47"/>
      <c r="H97" s="12"/>
    </row>
    <row r="98" spans="1:11" hidden="1" x14ac:dyDescent="0.2">
      <c r="A98" s="44"/>
      <c r="B98" s="47"/>
      <c r="H98" s="12"/>
    </row>
    <row r="99" spans="1:11" hidden="1" x14ac:dyDescent="0.2">
      <c r="H99" s="12"/>
    </row>
    <row r="100" spans="1:11" hidden="1" x14ac:dyDescent="0.2">
      <c r="A100" s="28"/>
      <c r="H100" s="12"/>
    </row>
    <row r="101" spans="1:11" hidden="1" x14ac:dyDescent="0.2">
      <c r="A101" s="28"/>
      <c r="H101" s="12"/>
    </row>
    <row r="102" spans="1:11" hidden="1" x14ac:dyDescent="0.2">
      <c r="A102" s="28"/>
      <c r="H102" s="12"/>
    </row>
    <row r="103" spans="1:11" hidden="1" x14ac:dyDescent="0.2">
      <c r="A103" s="28"/>
      <c r="H103" s="12"/>
    </row>
    <row r="104" spans="1:11" hidden="1" x14ac:dyDescent="0.2">
      <c r="A104" s="28"/>
      <c r="H104" s="12"/>
    </row>
    <row r="105" spans="1:11" hidden="1" x14ac:dyDescent="0.2">
      <c r="A105" s="28"/>
      <c r="H105" s="12"/>
    </row>
    <row r="106" spans="1:11" hidden="1" x14ac:dyDescent="0.2">
      <c r="A106" s="28"/>
      <c r="H106" s="12"/>
    </row>
    <row r="107" spans="1:11" s="3" customFormat="1" hidden="1" x14ac:dyDescent="0.2">
      <c r="C107" s="29"/>
      <c r="D107" s="29"/>
      <c r="E107" s="29"/>
      <c r="F107" s="29"/>
      <c r="G107" s="29"/>
      <c r="H107" s="32"/>
      <c r="I107" s="29"/>
      <c r="J107" s="29"/>
      <c r="K107" s="29"/>
    </row>
    <row r="108" spans="1:11" s="3" customFormat="1" hidden="1" x14ac:dyDescent="0.2">
      <c r="A108" s="31"/>
      <c r="B108" s="153"/>
      <c r="C108" s="153"/>
      <c r="D108" s="29"/>
      <c r="E108" s="29"/>
      <c r="F108" s="29"/>
      <c r="G108" s="29"/>
      <c r="H108" s="32"/>
      <c r="I108" s="29"/>
      <c r="J108" s="29"/>
      <c r="K108" s="29"/>
    </row>
    <row r="109" spans="1:11" hidden="1" x14ac:dyDescent="0.2">
      <c r="A109" s="29"/>
      <c r="B109" s="29"/>
      <c r="C109" s="29"/>
    </row>
    <row r="110" spans="1:11" s="3" customFormat="1" hidden="1" x14ac:dyDescent="0.2">
      <c r="A110" s="30"/>
      <c r="B110" s="30"/>
      <c r="C110" s="30"/>
      <c r="D110" s="29"/>
      <c r="E110" s="29"/>
      <c r="F110" s="29"/>
      <c r="G110" s="29"/>
      <c r="H110" s="32"/>
      <c r="I110" s="29"/>
      <c r="J110" s="29"/>
      <c r="K110" s="29"/>
    </row>
    <row r="111" spans="1:11" s="3" customFormat="1" hidden="1" x14ac:dyDescent="0.2">
      <c r="A111" s="31"/>
      <c r="B111" s="30"/>
      <c r="C111" s="30"/>
      <c r="D111" s="29"/>
      <c r="E111" s="29"/>
      <c r="F111" s="29"/>
      <c r="G111" s="29"/>
      <c r="H111" s="32"/>
      <c r="I111" s="29"/>
      <c r="J111" s="29"/>
      <c r="K111" s="29"/>
    </row>
    <row r="112" spans="1:11" s="3" customFormat="1" hidden="1" x14ac:dyDescent="0.2">
      <c r="A112" s="31"/>
      <c r="B112" s="30"/>
      <c r="C112" s="30"/>
      <c r="D112" s="29"/>
      <c r="E112" s="29"/>
      <c r="F112" s="29"/>
      <c r="G112" s="29"/>
      <c r="H112" s="29"/>
      <c r="I112" s="29"/>
      <c r="J112" s="29"/>
      <c r="K112" s="29"/>
    </row>
    <row r="113" spans="1:11" s="3" customFormat="1" hidden="1" x14ac:dyDescent="0.2">
      <c r="A113" s="31"/>
      <c r="B113" s="30"/>
      <c r="C113" s="30"/>
      <c r="D113" s="29"/>
      <c r="E113" s="29"/>
      <c r="F113" s="29"/>
      <c r="G113" s="29"/>
      <c r="H113" s="29"/>
      <c r="I113" s="29"/>
      <c r="J113" s="29"/>
      <c r="K113" s="29"/>
    </row>
    <row r="114" spans="1:11" s="3" customFormat="1" hidden="1" x14ac:dyDescent="0.2">
      <c r="A114" s="31"/>
      <c r="B114" s="30"/>
      <c r="C114" s="30"/>
      <c r="D114" s="29"/>
      <c r="E114" s="29"/>
      <c r="F114" s="29"/>
      <c r="G114" s="29"/>
      <c r="H114" s="29"/>
      <c r="I114" s="29"/>
      <c r="J114" s="29"/>
      <c r="K114" s="29"/>
    </row>
    <row r="115" spans="1:11" s="3" customFormat="1" hidden="1" x14ac:dyDescent="0.2">
      <c r="A115" s="31"/>
      <c r="B115" s="30"/>
      <c r="C115" s="30"/>
      <c r="D115" s="29"/>
      <c r="E115" s="29"/>
      <c r="F115" s="29"/>
      <c r="G115" s="29"/>
      <c r="H115" s="29"/>
      <c r="I115" s="29"/>
      <c r="J115" s="29"/>
      <c r="K115" s="29"/>
    </row>
    <row r="116" spans="1:11" s="3" customFormat="1" hidden="1" x14ac:dyDescent="0.2">
      <c r="A116" s="31"/>
      <c r="B116" s="30"/>
      <c r="C116" s="30"/>
      <c r="D116" s="29"/>
      <c r="E116" s="29"/>
      <c r="F116" s="29"/>
      <c r="G116" s="29"/>
      <c r="H116" s="29"/>
      <c r="I116" s="29"/>
      <c r="J116" s="29"/>
      <c r="K116" s="29"/>
    </row>
    <row r="117" spans="1:11" s="3" customFormat="1" hidden="1" x14ac:dyDescent="0.2">
      <c r="A117" s="31"/>
      <c r="B117" s="30"/>
      <c r="C117" s="30"/>
      <c r="D117" s="29"/>
      <c r="E117" s="29"/>
      <c r="F117" s="29"/>
      <c r="G117" s="29"/>
      <c r="H117" s="29"/>
      <c r="I117" s="29"/>
      <c r="J117" s="29"/>
      <c r="K117" s="29"/>
    </row>
    <row r="118" spans="1:11" s="3" customFormat="1" hidden="1" x14ac:dyDescent="0.2">
      <c r="A118" s="31"/>
      <c r="B118" s="30"/>
      <c r="C118" s="30"/>
      <c r="D118" s="29"/>
      <c r="E118" s="29"/>
      <c r="F118" s="29"/>
      <c r="G118" s="29"/>
      <c r="H118" s="29"/>
      <c r="I118" s="29"/>
      <c r="J118" s="29"/>
      <c r="K118" s="29"/>
    </row>
    <row r="119" spans="1:11" s="3" customFormat="1" hidden="1" x14ac:dyDescent="0.2">
      <c r="A119" s="31"/>
      <c r="B119" s="30"/>
      <c r="C119" s="30"/>
      <c r="D119" s="29"/>
      <c r="E119" s="29"/>
      <c r="F119" s="29"/>
      <c r="G119" s="29"/>
      <c r="H119" s="29"/>
      <c r="I119" s="29"/>
      <c r="J119" s="29"/>
      <c r="K119" s="29"/>
    </row>
    <row r="120" spans="1:11" s="3" customFormat="1" hidden="1" x14ac:dyDescent="0.2">
      <c r="A120" s="31"/>
      <c r="B120" s="30"/>
      <c r="C120" s="30"/>
      <c r="D120" s="29"/>
      <c r="E120" s="29"/>
      <c r="F120" s="29"/>
      <c r="G120" s="29"/>
      <c r="H120" s="29"/>
      <c r="I120" s="29"/>
      <c r="J120" s="29"/>
      <c r="K120" s="29"/>
    </row>
    <row r="121" spans="1:11" s="3" customFormat="1" hidden="1" x14ac:dyDescent="0.2">
      <c r="A121" s="31"/>
      <c r="B121" s="30"/>
      <c r="C121" s="30"/>
      <c r="D121" s="29"/>
      <c r="E121" s="29"/>
      <c r="F121" s="29"/>
      <c r="G121" s="29"/>
      <c r="H121" s="29"/>
      <c r="I121" s="29"/>
      <c r="J121" s="29"/>
      <c r="K121" s="29"/>
    </row>
    <row r="122" spans="1:11" s="3" customFormat="1" hidden="1" x14ac:dyDescent="0.2">
      <c r="A122" s="31"/>
      <c r="B122" s="30"/>
      <c r="C122" s="30"/>
      <c r="D122" s="29"/>
      <c r="E122" s="29"/>
      <c r="F122" s="29"/>
      <c r="G122" s="29"/>
      <c r="H122" s="29"/>
      <c r="I122" s="29"/>
      <c r="J122" s="29"/>
      <c r="K122" s="29"/>
    </row>
    <row r="123" spans="1:11" s="3" customFormat="1" hidden="1" x14ac:dyDescent="0.2">
      <c r="A123" s="31"/>
      <c r="B123" s="30"/>
      <c r="C123" s="30"/>
      <c r="D123" s="29"/>
      <c r="E123" s="29"/>
      <c r="F123" s="29"/>
      <c r="G123" s="29"/>
      <c r="H123" s="29"/>
      <c r="I123" s="29"/>
      <c r="J123" s="29"/>
      <c r="K123" s="29"/>
    </row>
    <row r="124" spans="1:11" s="3" customFormat="1" hidden="1" x14ac:dyDescent="0.2">
      <c r="A124" s="31"/>
      <c r="B124" s="30"/>
      <c r="C124" s="30"/>
      <c r="D124" s="29"/>
      <c r="E124" s="29"/>
      <c r="F124" s="29"/>
      <c r="G124" s="29"/>
      <c r="H124" s="29"/>
      <c r="I124" s="29"/>
      <c r="J124" s="29"/>
      <c r="K124" s="29"/>
    </row>
    <row r="125" spans="1:11" s="3" customFormat="1" hidden="1" x14ac:dyDescent="0.2">
      <c r="A125" s="31"/>
      <c r="B125" s="30"/>
      <c r="C125" s="30"/>
      <c r="D125" s="29"/>
      <c r="E125" s="29"/>
      <c r="F125" s="29"/>
      <c r="G125" s="29"/>
      <c r="H125" s="29"/>
      <c r="I125" s="29"/>
      <c r="J125" s="29"/>
      <c r="K125" s="29"/>
    </row>
    <row r="126" spans="1:11" s="3" customFormat="1" hidden="1" x14ac:dyDescent="0.2">
      <c r="A126" s="31"/>
      <c r="B126" s="30"/>
      <c r="C126" s="30"/>
      <c r="D126" s="29"/>
      <c r="E126" s="29"/>
      <c r="F126" s="29"/>
      <c r="G126" s="29"/>
      <c r="H126" s="29"/>
      <c r="I126" s="29"/>
      <c r="J126" s="29"/>
      <c r="K126" s="29"/>
    </row>
    <row r="127" spans="1:11" s="3" customFormat="1" hidden="1" x14ac:dyDescent="0.2">
      <c r="A127" s="31"/>
      <c r="B127" s="30"/>
      <c r="C127" s="30"/>
      <c r="D127" s="29"/>
      <c r="E127" s="29"/>
      <c r="F127" s="29"/>
      <c r="G127" s="29"/>
      <c r="H127" s="29"/>
      <c r="I127" s="29"/>
      <c r="J127" s="29"/>
      <c r="K127" s="29"/>
    </row>
    <row r="128" spans="1:11" s="3" customFormat="1" hidden="1" x14ac:dyDescent="0.2">
      <c r="A128" s="31"/>
      <c r="B128" s="30"/>
      <c r="C128" s="30"/>
      <c r="D128" s="29"/>
      <c r="E128" s="29"/>
      <c r="F128" s="29"/>
      <c r="G128" s="29"/>
      <c r="H128" s="29"/>
      <c r="I128" s="29"/>
      <c r="J128" s="29"/>
      <c r="K128" s="29"/>
    </row>
    <row r="129" spans="1:11" s="3" customFormat="1" hidden="1" x14ac:dyDescent="0.2">
      <c r="A129" s="31"/>
      <c r="B129" s="30"/>
      <c r="C129" s="30"/>
      <c r="D129" s="29"/>
      <c r="E129" s="29"/>
      <c r="F129" s="29"/>
      <c r="G129" s="29"/>
      <c r="H129" s="29"/>
      <c r="I129" s="29"/>
      <c r="J129" s="29"/>
      <c r="K129" s="29"/>
    </row>
    <row r="130" spans="1:11" s="3" customFormat="1" hidden="1" x14ac:dyDescent="0.2">
      <c r="A130" s="31"/>
      <c r="B130" s="30"/>
      <c r="C130" s="30"/>
      <c r="D130" s="29"/>
      <c r="E130" s="29"/>
      <c r="F130" s="29"/>
      <c r="G130" s="29"/>
      <c r="H130" s="29"/>
      <c r="I130" s="29"/>
      <c r="J130" s="29"/>
      <c r="K130" s="29"/>
    </row>
    <row r="131" spans="1:11" s="3" customFormat="1" hidden="1" x14ac:dyDescent="0.2">
      <c r="A131" s="31"/>
      <c r="B131" s="30"/>
      <c r="C131" s="30"/>
      <c r="D131" s="29"/>
      <c r="E131" s="29"/>
      <c r="F131" s="29"/>
      <c r="G131" s="29"/>
      <c r="H131" s="29"/>
      <c r="I131" s="29"/>
      <c r="J131" s="29"/>
      <c r="K131" s="29"/>
    </row>
    <row r="132" spans="1:11" s="3" customFormat="1" hidden="1" x14ac:dyDescent="0.2">
      <c r="A132" s="31"/>
      <c r="B132" s="30"/>
      <c r="C132" s="30"/>
      <c r="D132" s="29"/>
      <c r="E132" s="29"/>
      <c r="F132" s="29"/>
      <c r="G132" s="29"/>
      <c r="H132" s="29"/>
      <c r="I132" s="29"/>
      <c r="J132" s="29"/>
      <c r="K132" s="29"/>
    </row>
    <row r="133" spans="1:11" s="3" customFormat="1" hidden="1" x14ac:dyDescent="0.2">
      <c r="A133" s="31"/>
      <c r="B133" s="30"/>
      <c r="C133" s="30"/>
      <c r="D133" s="29"/>
      <c r="E133" s="29"/>
      <c r="F133" s="29"/>
      <c r="G133" s="29"/>
      <c r="H133" s="29"/>
      <c r="I133" s="29"/>
      <c r="J133" s="29"/>
      <c r="K133" s="29"/>
    </row>
    <row r="134" spans="1:11" s="3" customFormat="1" hidden="1" x14ac:dyDescent="0.2">
      <c r="A134" s="31"/>
      <c r="B134" s="30"/>
      <c r="C134" s="30"/>
      <c r="D134" s="29"/>
      <c r="E134" s="29"/>
      <c r="F134" s="29"/>
      <c r="G134" s="29"/>
      <c r="H134" s="29"/>
      <c r="I134" s="29"/>
      <c r="J134" s="29"/>
      <c r="K134" s="29"/>
    </row>
    <row r="135" spans="1:11" s="3" customFormat="1" hidden="1" x14ac:dyDescent="0.2">
      <c r="A135" s="31"/>
      <c r="B135" s="30"/>
      <c r="C135" s="30"/>
      <c r="D135" s="29"/>
      <c r="E135" s="29"/>
      <c r="F135" s="29"/>
      <c r="G135" s="29"/>
      <c r="H135" s="29"/>
      <c r="I135" s="29"/>
      <c r="J135" s="29"/>
      <c r="K135" s="29"/>
    </row>
    <row r="136" spans="1:11" s="3" customFormat="1" hidden="1" x14ac:dyDescent="0.2">
      <c r="A136" s="31"/>
      <c r="B136" s="30"/>
      <c r="C136" s="30"/>
      <c r="D136" s="29"/>
      <c r="E136" s="29"/>
      <c r="F136" s="29"/>
      <c r="G136" s="29"/>
      <c r="H136" s="29"/>
      <c r="I136" s="29"/>
      <c r="J136" s="29"/>
      <c r="K136" s="29"/>
    </row>
    <row r="137" spans="1:11" s="3" customFormat="1" hidden="1" x14ac:dyDescent="0.2">
      <c r="A137" s="31"/>
      <c r="B137" s="29"/>
      <c r="C137" s="29"/>
      <c r="D137" s="29"/>
      <c r="E137" s="29"/>
      <c r="F137" s="29"/>
      <c r="G137" s="29"/>
      <c r="H137" s="29"/>
      <c r="I137" s="29"/>
      <c r="J137" s="29"/>
      <c r="K137" s="29"/>
    </row>
    <row r="138" spans="1:11" s="3" customFormat="1" hidden="1" x14ac:dyDescent="0.2">
      <c r="A138" s="31"/>
      <c r="B138" s="29"/>
      <c r="C138" s="29"/>
      <c r="D138" s="29"/>
      <c r="E138" s="29"/>
      <c r="F138" s="29"/>
      <c r="G138" s="29"/>
      <c r="H138" s="29"/>
      <c r="I138" s="29"/>
      <c r="J138" s="29"/>
      <c r="K138" s="29"/>
    </row>
    <row r="139" spans="1:11" s="35" customFormat="1" hidden="1" x14ac:dyDescent="0.25">
      <c r="A139" s="33"/>
      <c r="B139" s="34"/>
      <c r="C139" s="34"/>
      <c r="D139" s="34"/>
      <c r="E139" s="34"/>
      <c r="F139" s="34"/>
      <c r="G139" s="34"/>
      <c r="H139" s="34"/>
      <c r="I139" s="34"/>
      <c r="J139" s="32"/>
      <c r="K139" s="32"/>
    </row>
    <row r="140" spans="1:11" s="3" customFormat="1" hidden="1" x14ac:dyDescent="0.2">
      <c r="A140" s="29"/>
      <c r="B140" s="31"/>
      <c r="C140" s="31"/>
      <c r="D140" s="31"/>
      <c r="E140" s="31"/>
      <c r="F140" s="31"/>
      <c r="G140" s="31"/>
      <c r="H140" s="30"/>
      <c r="I140" s="30"/>
      <c r="J140" s="29"/>
      <c r="K140" s="29"/>
    </row>
    <row r="141" spans="1:11" s="3" customFormat="1" hidden="1" x14ac:dyDescent="0.2">
      <c r="A141" s="29"/>
      <c r="B141" s="31"/>
      <c r="C141" s="31"/>
      <c r="D141" s="31"/>
      <c r="E141" s="31"/>
      <c r="F141" s="31"/>
      <c r="G141" s="31"/>
      <c r="H141" s="30"/>
      <c r="I141" s="30"/>
      <c r="J141" s="29"/>
      <c r="K141" s="29"/>
    </row>
    <row r="142" spans="1:11" s="3" customFormat="1" hidden="1" x14ac:dyDescent="0.2">
      <c r="A142" s="29"/>
      <c r="B142" s="31"/>
      <c r="C142" s="31"/>
      <c r="D142" s="31"/>
      <c r="E142" s="31"/>
      <c r="F142" s="31"/>
      <c r="G142" s="31"/>
      <c r="H142" s="30"/>
      <c r="I142" s="30"/>
      <c r="J142" s="29"/>
      <c r="K142" s="29"/>
    </row>
    <row r="143" spans="1:11" s="3" customFormat="1" hidden="1" x14ac:dyDescent="0.2">
      <c r="A143" s="34"/>
      <c r="B143" s="34"/>
      <c r="C143" s="34"/>
      <c r="D143" s="34"/>
      <c r="E143" s="34"/>
      <c r="F143" s="34"/>
      <c r="G143" s="34"/>
      <c r="H143" s="34"/>
      <c r="I143" s="34"/>
      <c r="J143" s="29"/>
      <c r="K143" s="29"/>
    </row>
    <row r="144" spans="1:11" s="3" customFormat="1" hidden="1" x14ac:dyDescent="0.2">
      <c r="A144" s="29"/>
      <c r="B144" s="31"/>
      <c r="C144" s="31"/>
      <c r="D144" s="31"/>
      <c r="E144" s="31"/>
      <c r="F144" s="31"/>
      <c r="G144" s="31"/>
      <c r="H144" s="30"/>
      <c r="I144" s="30"/>
      <c r="J144" s="29"/>
      <c r="K144" s="29"/>
    </row>
    <row r="145" spans="1:11" s="3" customFormat="1" hidden="1" x14ac:dyDescent="0.2">
      <c r="A145" s="29"/>
      <c r="B145" s="31"/>
      <c r="C145" s="31"/>
      <c r="D145" s="31"/>
      <c r="E145" s="31"/>
      <c r="F145" s="31"/>
      <c r="G145" s="31"/>
      <c r="H145" s="30"/>
      <c r="I145" s="30"/>
      <c r="J145" s="29"/>
      <c r="K145" s="29"/>
    </row>
    <row r="146" spans="1:11" s="3" customFormat="1" hidden="1" x14ac:dyDescent="0.2">
      <c r="A146" s="29"/>
      <c r="B146" s="31"/>
      <c r="C146" s="31"/>
      <c r="D146" s="31"/>
      <c r="E146" s="31"/>
      <c r="F146" s="31"/>
      <c r="G146" s="31"/>
      <c r="H146" s="30"/>
      <c r="I146" s="30"/>
      <c r="J146" s="29"/>
      <c r="K146" s="29"/>
    </row>
    <row r="147" spans="1:11" s="3" customFormat="1" hidden="1" x14ac:dyDescent="0.2">
      <c r="A147" s="29"/>
      <c r="B147" s="31"/>
      <c r="C147" s="31"/>
      <c r="D147" s="31"/>
      <c r="E147" s="31"/>
      <c r="F147" s="31"/>
      <c r="G147" s="31"/>
      <c r="H147" s="30"/>
      <c r="I147" s="30"/>
      <c r="J147" s="29"/>
      <c r="K147" s="29"/>
    </row>
    <row r="148" spans="1:11" s="3" customFormat="1" hidden="1" x14ac:dyDescent="0.2">
      <c r="A148" s="29"/>
      <c r="B148" s="31"/>
      <c r="C148" s="31"/>
      <c r="D148" s="31"/>
      <c r="E148" s="31"/>
      <c r="F148" s="31"/>
      <c r="G148" s="31"/>
      <c r="H148" s="30"/>
      <c r="I148" s="30"/>
      <c r="J148" s="29"/>
      <c r="K148" s="29"/>
    </row>
    <row r="149" spans="1:11" s="3" customFormat="1" hidden="1" x14ac:dyDescent="0.2">
      <c r="A149" s="29"/>
      <c r="B149" s="31"/>
      <c r="C149" s="31"/>
      <c r="D149" s="31"/>
      <c r="E149" s="31"/>
      <c r="F149" s="31"/>
      <c r="G149" s="31"/>
      <c r="H149" s="30"/>
      <c r="I149" s="30"/>
      <c r="J149" s="29"/>
      <c r="K149" s="29"/>
    </row>
    <row r="150" spans="1:11" s="3" customFormat="1" hidden="1" x14ac:dyDescent="0.2">
      <c r="A150" s="29"/>
      <c r="B150" s="31"/>
      <c r="C150" s="31"/>
      <c r="D150" s="31"/>
      <c r="E150" s="31"/>
      <c r="F150" s="31"/>
      <c r="G150" s="31"/>
      <c r="H150" s="30"/>
      <c r="I150" s="30"/>
      <c r="J150" s="29"/>
      <c r="K150" s="29"/>
    </row>
    <row r="151" spans="1:11" s="3" customFormat="1" hidden="1" x14ac:dyDescent="0.2">
      <c r="A151" s="29"/>
      <c r="B151" s="31"/>
      <c r="C151" s="31"/>
      <c r="D151" s="31"/>
      <c r="E151" s="31"/>
      <c r="F151" s="31"/>
      <c r="G151" s="31"/>
      <c r="H151" s="30"/>
      <c r="I151" s="30"/>
      <c r="J151" s="29"/>
      <c r="K151" s="29"/>
    </row>
    <row r="152" spans="1:11" s="3" customFormat="1" hidden="1" x14ac:dyDescent="0.2">
      <c r="A152" s="29"/>
      <c r="B152" s="31"/>
      <c r="C152" s="31"/>
      <c r="D152" s="31"/>
      <c r="E152" s="31"/>
      <c r="F152" s="31"/>
      <c r="G152" s="31"/>
      <c r="H152" s="30"/>
      <c r="I152" s="30"/>
      <c r="J152" s="29"/>
      <c r="K152" s="29"/>
    </row>
    <row r="153" spans="1:11" s="3" customFormat="1" hidden="1" x14ac:dyDescent="0.2">
      <c r="A153" s="29"/>
      <c r="B153" s="31"/>
      <c r="C153" s="31"/>
      <c r="D153" s="31"/>
      <c r="E153" s="31"/>
      <c r="F153" s="31"/>
      <c r="G153" s="31"/>
      <c r="H153" s="30"/>
      <c r="I153" s="30"/>
      <c r="J153" s="29"/>
      <c r="K153" s="29"/>
    </row>
    <row r="154" spans="1:11" s="3" customFormat="1" hidden="1" x14ac:dyDescent="0.2">
      <c r="A154" s="29"/>
      <c r="B154" s="31"/>
      <c r="C154" s="31"/>
      <c r="D154" s="31"/>
      <c r="E154" s="31"/>
      <c r="F154" s="31"/>
      <c r="G154" s="31"/>
      <c r="H154" s="30"/>
      <c r="I154" s="30"/>
      <c r="J154" s="29"/>
      <c r="K154" s="29"/>
    </row>
    <row r="155" spans="1:11" s="3" customFormat="1" hidden="1" x14ac:dyDescent="0.2">
      <c r="A155" s="29"/>
      <c r="B155" s="31"/>
      <c r="C155" s="31"/>
      <c r="D155" s="31"/>
      <c r="E155" s="31"/>
      <c r="F155" s="31"/>
      <c r="G155" s="31"/>
      <c r="H155" s="30"/>
      <c r="I155" s="30"/>
      <c r="J155" s="29"/>
      <c r="K155" s="29"/>
    </row>
    <row r="156" spans="1:11" s="3" customFormat="1" hidden="1" x14ac:dyDescent="0.2">
      <c r="A156" s="29"/>
      <c r="B156" s="31"/>
      <c r="C156" s="31"/>
      <c r="D156" s="31"/>
      <c r="E156" s="31"/>
      <c r="F156" s="31"/>
      <c r="G156" s="31"/>
      <c r="H156" s="30"/>
      <c r="I156" s="30"/>
      <c r="J156" s="29"/>
      <c r="K156" s="29"/>
    </row>
    <row r="157" spans="1:11" s="3" customFormat="1" hidden="1" x14ac:dyDescent="0.2">
      <c r="A157" s="29"/>
      <c r="B157" s="31"/>
      <c r="C157" s="31"/>
      <c r="D157" s="31"/>
      <c r="E157" s="31"/>
      <c r="F157" s="31"/>
      <c r="G157" s="31"/>
      <c r="H157" s="30"/>
      <c r="I157" s="30"/>
      <c r="J157" s="29"/>
      <c r="K157" s="29"/>
    </row>
    <row r="158" spans="1:11" s="3" customFormat="1" hidden="1" x14ac:dyDescent="0.2">
      <c r="A158" s="29"/>
      <c r="B158" s="31"/>
      <c r="C158" s="31"/>
      <c r="D158" s="31"/>
      <c r="E158" s="31"/>
      <c r="F158" s="31"/>
      <c r="G158" s="31"/>
      <c r="H158" s="30"/>
      <c r="I158" s="30"/>
      <c r="J158" s="29"/>
      <c r="K158" s="29"/>
    </row>
    <row r="159" spans="1:11" s="3" customFormat="1" hidden="1" x14ac:dyDescent="0.2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</row>
    <row r="160" spans="1:11" s="3" customFormat="1" hidden="1" x14ac:dyDescent="0.2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</row>
    <row r="161" spans="1:11" s="3" customFormat="1" hidden="1" x14ac:dyDescent="0.2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</row>
    <row r="162" spans="1:11" s="3" customFormat="1" hidden="1" x14ac:dyDescent="0.2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</row>
    <row r="163" spans="1:11" s="3" customFormat="1" hidden="1" x14ac:dyDescent="0.2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</row>
    <row r="164" spans="1:11" s="3" customFormat="1" hidden="1" x14ac:dyDescent="0.2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</row>
    <row r="165" spans="1:11" s="3" customFormat="1" hidden="1" x14ac:dyDescent="0.2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</row>
    <row r="166" spans="1:11" s="3" customFormat="1" hidden="1" x14ac:dyDescent="0.2">
      <c r="A166" s="29"/>
      <c r="B166" s="29"/>
      <c r="C166" s="29"/>
      <c r="D166" s="29"/>
      <c r="J166" s="29"/>
      <c r="K166" s="29"/>
    </row>
    <row r="167" spans="1:11" s="3" customFormat="1" hidden="1" x14ac:dyDescent="0.2">
      <c r="A167" s="29"/>
      <c r="B167" s="29"/>
      <c r="C167" s="29"/>
      <c r="D167" s="29"/>
      <c r="J167" s="29"/>
      <c r="K167" s="29"/>
    </row>
    <row r="168" spans="1:11" s="3" customFormat="1" hidden="1" x14ac:dyDescent="0.2">
      <c r="A168" s="29"/>
      <c r="B168" s="29"/>
      <c r="C168" s="29"/>
      <c r="D168" s="29"/>
      <c r="J168" s="29"/>
      <c r="K168" s="29"/>
    </row>
    <row r="169" spans="1:11" s="3" customFormat="1" hidden="1" x14ac:dyDescent="0.2">
      <c r="A169" s="29"/>
      <c r="B169" s="29"/>
      <c r="C169" s="29"/>
      <c r="D169" s="29"/>
      <c r="J169" s="29"/>
      <c r="K169" s="29"/>
    </row>
    <row r="170" spans="1:11" s="3" customFormat="1" hidden="1" x14ac:dyDescent="0.2">
      <c r="A170" s="29"/>
      <c r="B170" s="29"/>
      <c r="C170" s="29"/>
      <c r="D170" s="29"/>
      <c r="J170" s="29"/>
      <c r="K170" s="29"/>
    </row>
    <row r="171" spans="1:11" s="3" customFormat="1" hidden="1" x14ac:dyDescent="0.2">
      <c r="A171" s="29"/>
      <c r="B171" s="29"/>
      <c r="C171" s="29"/>
      <c r="D171" s="29"/>
      <c r="J171" s="29"/>
      <c r="K171" s="29"/>
    </row>
    <row r="172" spans="1:11" s="3" customFormat="1" hidden="1" x14ac:dyDescent="0.2">
      <c r="A172" s="29"/>
      <c r="B172" s="29"/>
      <c r="C172" s="29"/>
      <c r="D172" s="29"/>
      <c r="J172" s="29"/>
      <c r="K172" s="29"/>
    </row>
    <row r="173" spans="1:11" s="3" customFormat="1" hidden="1" x14ac:dyDescent="0.2">
      <c r="A173" s="29"/>
      <c r="B173" s="29"/>
      <c r="C173" s="29"/>
      <c r="D173" s="29"/>
      <c r="J173" s="29"/>
      <c r="K173" s="29"/>
    </row>
    <row r="174" spans="1:11" s="3" customFormat="1" hidden="1" x14ac:dyDescent="0.2">
      <c r="A174" s="29"/>
      <c r="B174" s="29"/>
      <c r="C174" s="29"/>
      <c r="D174" s="29"/>
      <c r="J174" s="29"/>
      <c r="K174" s="29"/>
    </row>
    <row r="175" spans="1:11" s="3" customFormat="1" hidden="1" x14ac:dyDescent="0.2">
      <c r="A175" s="29"/>
      <c r="B175" s="29"/>
      <c r="C175" s="29"/>
      <c r="D175" s="29"/>
      <c r="J175" s="29"/>
      <c r="K175" s="29"/>
    </row>
    <row r="176" spans="1:11" s="3" customFormat="1" hidden="1" x14ac:dyDescent="0.2">
      <c r="A176" s="29"/>
      <c r="B176" s="29"/>
      <c r="C176" s="29"/>
      <c r="D176" s="29"/>
      <c r="J176" s="29"/>
      <c r="K176" s="29"/>
    </row>
    <row r="177" spans="1:11" s="3" customFormat="1" hidden="1" x14ac:dyDescent="0.2">
      <c r="A177" s="29"/>
      <c r="B177" s="29"/>
      <c r="C177" s="29"/>
      <c r="D177" s="29"/>
      <c r="J177" s="29"/>
      <c r="K177" s="29"/>
    </row>
    <row r="178" spans="1:11" s="3" customFormat="1" hidden="1" x14ac:dyDescent="0.2">
      <c r="A178" s="29"/>
      <c r="B178" s="29"/>
      <c r="C178" s="29"/>
      <c r="D178" s="29"/>
      <c r="J178" s="29"/>
      <c r="K178" s="29"/>
    </row>
    <row r="179" spans="1:11" s="3" customFormat="1" hidden="1" x14ac:dyDescent="0.2"/>
    <row r="180" spans="1:11" s="3" customFormat="1" hidden="1" x14ac:dyDescent="0.2"/>
    <row r="181" spans="1:11" s="3" customFormat="1" hidden="1" x14ac:dyDescent="0.2"/>
    <row r="182" spans="1:11" s="3" customFormat="1" hidden="1" x14ac:dyDescent="0.2"/>
    <row r="183" spans="1:11" s="3" customFormat="1" hidden="1" x14ac:dyDescent="0.2"/>
  </sheetData>
  <sheetProtection selectLockedCells="1" selectUnlockedCells="1"/>
  <mergeCells count="65">
    <mergeCell ref="A78:I78"/>
    <mergeCell ref="F9:G9"/>
    <mergeCell ref="A4:A5"/>
    <mergeCell ref="B4:I4"/>
    <mergeCell ref="B5:C5"/>
    <mergeCell ref="D5:E5"/>
    <mergeCell ref="F5:G5"/>
    <mergeCell ref="B6:C6"/>
    <mergeCell ref="D6:E6"/>
    <mergeCell ref="F6:G6"/>
    <mergeCell ref="H6:I6"/>
    <mergeCell ref="H9:I9"/>
    <mergeCell ref="F12:G12"/>
    <mergeCell ref="B35:C35"/>
    <mergeCell ref="H10:I10"/>
    <mergeCell ref="H35:I35"/>
    <mergeCell ref="F15:G15"/>
    <mergeCell ref="D14:E14"/>
    <mergeCell ref="B13:C13"/>
    <mergeCell ref="D13:E13"/>
    <mergeCell ref="F35:G35"/>
    <mergeCell ref="B14:C14"/>
    <mergeCell ref="A75:I75"/>
    <mergeCell ref="A76:I76"/>
    <mergeCell ref="A77:I77"/>
    <mergeCell ref="A71:I71"/>
    <mergeCell ref="D35:E35"/>
    <mergeCell ref="H12:I12"/>
    <mergeCell ref="F11:G11"/>
    <mergeCell ref="H11:I11"/>
    <mergeCell ref="H14:I14"/>
    <mergeCell ref="H5:I5"/>
    <mergeCell ref="B7:C7"/>
    <mergeCell ref="D7:E7"/>
    <mergeCell ref="F7:G7"/>
    <mergeCell ref="H7:I7"/>
    <mergeCell ref="H8:I8"/>
    <mergeCell ref="B12:C12"/>
    <mergeCell ref="B8:C8"/>
    <mergeCell ref="D8:E8"/>
    <mergeCell ref="F8:G8"/>
    <mergeCell ref="B9:C9"/>
    <mergeCell ref="D9:E9"/>
    <mergeCell ref="D11:E11"/>
    <mergeCell ref="D12:E12"/>
    <mergeCell ref="F10:G10"/>
    <mergeCell ref="B10:C10"/>
    <mergeCell ref="B11:C11"/>
    <mergeCell ref="D10:E10"/>
    <mergeCell ref="B108:C108"/>
    <mergeCell ref="F13:G13"/>
    <mergeCell ref="H13:I13"/>
    <mergeCell ref="A74:I74"/>
    <mergeCell ref="A73:I73"/>
    <mergeCell ref="A17:A18"/>
    <mergeCell ref="B15:C15"/>
    <mergeCell ref="D15:E15"/>
    <mergeCell ref="A72:I72"/>
    <mergeCell ref="B17:C17"/>
    <mergeCell ref="D17:E17"/>
    <mergeCell ref="F17:G17"/>
    <mergeCell ref="H17:I17"/>
    <mergeCell ref="F14:G14"/>
    <mergeCell ref="H15:I15"/>
    <mergeCell ref="A79:I79"/>
  </mergeCells>
  <phoneticPr fontId="30" type="noConversion"/>
  <dataValidations count="16">
    <dataValidation type="decimal" operator="lessThanOrEqual" allowBlank="1" showInputMessage="1" showErrorMessage="1" sqref="H7 B7 D7 F7" xr:uid="{00000000-0002-0000-0000-000000000000}">
      <formula1>3</formula1>
    </dataValidation>
    <dataValidation type="list" allowBlank="1" showInputMessage="1" showErrorMessage="1" sqref="B6" xr:uid="{00000000-0002-0000-0000-000001000000}">
      <formula1>MRGOJ</formula1>
    </dataValidation>
    <dataValidation type="list" allowBlank="1" showInputMessage="1" showErrorMessage="1" sqref="D6" xr:uid="{00000000-0002-0000-0000-000002000000}">
      <formula1>JJEDD</formula1>
    </dataValidation>
    <dataValidation type="list" allowBlank="1" showInputMessage="1" showErrorMessage="1" sqref="F6" xr:uid="{00000000-0002-0000-0000-000003000000}">
      <formula1>YAWAO</formula1>
    </dataValidation>
    <dataValidation type="list" allowBlank="1" showInputMessage="1" showErrorMessage="1" sqref="H6" xr:uid="{00000000-0002-0000-0000-000004000000}">
      <formula1>IQDLQ</formula1>
    </dataValidation>
    <dataValidation type="list" allowBlank="1" showInputMessage="1" showErrorMessage="1" sqref="B11 D11 F11 H11" xr:uid="{00000000-0002-0000-0000-000005000000}">
      <formula1>"да, нет"</formula1>
    </dataValidation>
    <dataValidation type="list" allowBlank="1" showInputMessage="1" showErrorMessage="1" sqref="B12:C12" xr:uid="{00000000-0002-0000-0000-000006000000}">
      <formula1>GQIBE</formula1>
    </dataValidation>
    <dataValidation type="list" allowBlank="1" showInputMessage="1" showErrorMessage="1" sqref="D12:E12" xr:uid="{00000000-0002-0000-0000-000007000000}">
      <formula1>PSAXR</formula1>
    </dataValidation>
    <dataValidation type="list" allowBlank="1" showInputMessage="1" showErrorMessage="1" sqref="F12:G12" xr:uid="{00000000-0002-0000-0000-000008000000}">
      <formula1>TAYYL</formula1>
    </dataValidation>
    <dataValidation type="list" allowBlank="1" showInputMessage="1" showErrorMessage="1" sqref="H12:I12" xr:uid="{00000000-0002-0000-0000-000009000000}">
      <formula1>OGGLT</formula1>
    </dataValidation>
    <dataValidation type="list" allowBlank="1" showInputMessage="1" showErrorMessage="1" sqref="B13:I13" xr:uid="{00000000-0002-0000-0000-00000A000000}">
      <formula1>QPAFE</formula1>
    </dataValidation>
    <dataValidation type="list" allowBlank="1" showInputMessage="1" showErrorMessage="1" sqref="B14:C14" xr:uid="{00000000-0002-0000-0000-00000F000000}">
      <formula1>BTYPS</formula1>
    </dataValidation>
    <dataValidation type="list" allowBlank="1" showInputMessage="1" showErrorMessage="1" sqref="D14:E14" xr:uid="{00000000-0002-0000-0000-000010000000}">
      <formula1>MUGNQ</formula1>
    </dataValidation>
    <dataValidation type="list" allowBlank="1" showInputMessage="1" showErrorMessage="1" sqref="F14:G14" xr:uid="{00000000-0002-0000-0000-000011000000}">
      <formula1>IANCJ</formula1>
    </dataValidation>
    <dataValidation type="list" allowBlank="1" showInputMessage="1" showErrorMessage="1" sqref="H14:I14" xr:uid="{00000000-0002-0000-0000-000012000000}">
      <formula1>CEXUI</formula1>
    </dataValidation>
    <dataValidation type="list" allowBlank="1" showInputMessage="1" showErrorMessage="1" sqref="B15:I15" xr:uid="{00000000-0002-0000-0000-000014000000}">
      <formula1>MilType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9" firstPageNumber="0" fitToHeight="2" orientation="portrait" r:id="rId1"/>
  <headerFooter scaleWithDoc="0"/>
  <rowBreaks count="1" manualBreakCount="1">
    <brk id="70" max="8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9CC00"/>
    <pageSetUpPr fitToPage="1"/>
  </sheetPr>
  <dimension ref="A1:AG214"/>
  <sheetViews>
    <sheetView showGridLines="0" zoomScale="85" zoomScaleNormal="85" zoomScaleSheetLayoutView="50" zoomScalePageLayoutView="55" workbookViewId="0">
      <pane ySplit="15" topLeftCell="A16" activePane="bottomLeft" state="frozen"/>
      <selection pane="bottomLeft"/>
    </sheetView>
  </sheetViews>
  <sheetFormatPr defaultColWidth="0" defaultRowHeight="12.75" zeroHeight="1" x14ac:dyDescent="0.2"/>
  <cols>
    <col min="1" max="1" width="55.7109375" style="2" customWidth="1"/>
    <col min="2" max="2" width="14" style="2" customWidth="1"/>
    <col min="3" max="3" width="13.140625" style="2" customWidth="1"/>
    <col min="4" max="4" width="15.5703125" style="2" customWidth="1"/>
    <col min="5" max="6" width="14.42578125" style="2" customWidth="1"/>
    <col min="7" max="7" width="12.5703125" style="2" customWidth="1"/>
    <col min="8" max="8" width="13.5703125" style="2" customWidth="1"/>
    <col min="9" max="9" width="14.85546875" style="2" customWidth="1"/>
    <col min="10" max="10" width="25.28515625" style="2" customWidth="1"/>
    <col min="11" max="11" width="9.28515625" style="2" hidden="1" customWidth="1"/>
    <col min="12" max="12" width="9" style="2" hidden="1" customWidth="1"/>
    <col min="13" max="13" width="13.85546875" style="2" hidden="1" customWidth="1"/>
    <col min="14" max="14" width="10.85546875" style="2" hidden="1" customWidth="1"/>
    <col min="15" max="33" width="0" style="2" hidden="1" customWidth="1"/>
    <col min="34" max="16384" width="9.140625" style="2" hidden="1"/>
  </cols>
  <sheetData>
    <row r="1" spans="1:11" x14ac:dyDescent="0.2">
      <c r="A1" s="152">
        <v>45273</v>
      </c>
      <c r="B1" s="104"/>
      <c r="C1" s="104"/>
      <c r="D1" s="104"/>
      <c r="E1" s="1"/>
      <c r="F1" s="1"/>
      <c r="H1" s="49"/>
      <c r="I1" s="4"/>
    </row>
    <row r="2" spans="1:11" ht="27" customHeight="1" thickBot="1" x14ac:dyDescent="0.25">
      <c r="A2" s="111" t="s">
        <v>135</v>
      </c>
      <c r="B2" s="111"/>
      <c r="C2" s="111"/>
      <c r="D2" s="111"/>
      <c r="E2" s="111"/>
      <c r="F2" s="111"/>
      <c r="G2" s="111"/>
      <c r="H2" s="111"/>
      <c r="I2" s="111"/>
      <c r="K2" s="4"/>
    </row>
    <row r="3" spans="1:11" ht="16.5" customHeight="1" x14ac:dyDescent="0.2">
      <c r="A3" s="5"/>
      <c r="B3" s="6"/>
      <c r="H3" s="7"/>
      <c r="I3" s="7"/>
      <c r="J3" s="9"/>
      <c r="K3" s="9"/>
    </row>
    <row r="4" spans="1:11" ht="16.5" customHeight="1" x14ac:dyDescent="0.2">
      <c r="A4" s="176" t="s">
        <v>136</v>
      </c>
      <c r="B4" s="162" t="s">
        <v>30</v>
      </c>
      <c r="C4" s="162"/>
      <c r="D4" s="162"/>
      <c r="E4" s="162"/>
      <c r="F4" s="162"/>
      <c r="G4" s="162"/>
      <c r="H4" s="162"/>
      <c r="I4" s="162"/>
      <c r="J4" s="9"/>
      <c r="K4" s="9"/>
    </row>
    <row r="5" spans="1:11" ht="16.5" customHeight="1" x14ac:dyDescent="0.2">
      <c r="A5" s="176"/>
      <c r="B5" s="172" t="s">
        <v>32</v>
      </c>
      <c r="C5" s="172"/>
      <c r="D5" s="172" t="s">
        <v>33</v>
      </c>
      <c r="E5" s="172"/>
      <c r="F5" s="172" t="s">
        <v>34</v>
      </c>
      <c r="G5" s="172"/>
      <c r="H5" s="172" t="s">
        <v>35</v>
      </c>
      <c r="I5" s="172"/>
      <c r="J5" s="9"/>
      <c r="K5" s="9"/>
    </row>
    <row r="6" spans="1:11" ht="16.5" customHeight="1" x14ac:dyDescent="0.2">
      <c r="A6" s="68" t="s">
        <v>123</v>
      </c>
      <c r="B6" s="171">
        <v>0</v>
      </c>
      <c r="C6" s="171"/>
      <c r="D6" s="171">
        <v>0</v>
      </c>
      <c r="E6" s="171"/>
      <c r="F6" s="171">
        <v>0</v>
      </c>
      <c r="G6" s="171"/>
      <c r="H6" s="171">
        <v>0</v>
      </c>
      <c r="I6" s="171"/>
      <c r="J6" s="6" t="s">
        <v>126</v>
      </c>
      <c r="K6" s="9"/>
    </row>
    <row r="7" spans="1:11" ht="16.5" customHeight="1" x14ac:dyDescent="0.2">
      <c r="A7" s="68" t="s">
        <v>38</v>
      </c>
      <c r="B7" s="171">
        <v>0</v>
      </c>
      <c r="C7" s="171"/>
      <c r="D7" s="171">
        <v>0</v>
      </c>
      <c r="E7" s="171"/>
      <c r="F7" s="171">
        <v>0</v>
      </c>
      <c r="G7" s="171"/>
      <c r="H7" s="171">
        <v>0</v>
      </c>
      <c r="I7" s="171"/>
      <c r="J7" s="6" t="s">
        <v>127</v>
      </c>
      <c r="K7" s="9"/>
    </row>
    <row r="8" spans="1:11" ht="16.5" customHeight="1" x14ac:dyDescent="0.2">
      <c r="A8" s="68" t="s">
        <v>40</v>
      </c>
      <c r="B8" s="171">
        <v>0</v>
      </c>
      <c r="C8" s="171"/>
      <c r="D8" s="171">
        <v>0</v>
      </c>
      <c r="E8" s="171"/>
      <c r="F8" s="171">
        <v>0</v>
      </c>
      <c r="G8" s="171"/>
      <c r="H8" s="171">
        <v>0</v>
      </c>
      <c r="I8" s="171"/>
      <c r="J8" s="6" t="s">
        <v>128</v>
      </c>
      <c r="K8" s="9"/>
    </row>
    <row r="9" spans="1:11" ht="16.5" customHeight="1" x14ac:dyDescent="0.2">
      <c r="A9" s="69" t="s">
        <v>41</v>
      </c>
      <c r="B9" s="171">
        <v>0</v>
      </c>
      <c r="C9" s="171"/>
      <c r="D9" s="171">
        <v>0</v>
      </c>
      <c r="E9" s="171"/>
      <c r="F9" s="171">
        <v>0</v>
      </c>
      <c r="G9" s="171"/>
      <c r="H9" s="171">
        <v>0</v>
      </c>
      <c r="I9" s="171"/>
      <c r="J9" s="6" t="s">
        <v>128</v>
      </c>
      <c r="K9" s="9"/>
    </row>
    <row r="10" spans="1:11" ht="16.5" customHeight="1" x14ac:dyDescent="0.2">
      <c r="A10" s="69" t="s">
        <v>183</v>
      </c>
      <c r="B10" s="171">
        <v>0</v>
      </c>
      <c r="C10" s="171"/>
      <c r="D10" s="171">
        <v>0</v>
      </c>
      <c r="E10" s="171"/>
      <c r="F10" s="171">
        <v>0</v>
      </c>
      <c r="G10" s="171"/>
      <c r="H10" s="171">
        <v>0</v>
      </c>
      <c r="I10" s="171"/>
      <c r="J10" s="6" t="s">
        <v>128</v>
      </c>
      <c r="K10" s="9"/>
    </row>
    <row r="11" spans="1:11" ht="16.5" customHeight="1" x14ac:dyDescent="0.2">
      <c r="A11" s="68" t="s">
        <v>44</v>
      </c>
      <c r="B11" s="171" t="s">
        <v>45</v>
      </c>
      <c r="C11" s="171"/>
      <c r="D11" s="171" t="s">
        <v>45</v>
      </c>
      <c r="E11" s="171"/>
      <c r="F11" s="171" t="s">
        <v>45</v>
      </c>
      <c r="G11" s="171"/>
      <c r="H11" s="171" t="s">
        <v>45</v>
      </c>
      <c r="I11" s="171"/>
      <c r="J11" s="6" t="s">
        <v>126</v>
      </c>
      <c r="K11" s="9"/>
    </row>
    <row r="12" spans="1:11" ht="16.5" customHeight="1" x14ac:dyDescent="0.2">
      <c r="A12" s="68" t="s">
        <v>139</v>
      </c>
      <c r="B12" s="169" t="s">
        <v>45</v>
      </c>
      <c r="C12" s="170"/>
      <c r="D12" s="169" t="s">
        <v>45</v>
      </c>
      <c r="E12" s="170"/>
      <c r="F12" s="169" t="s">
        <v>45</v>
      </c>
      <c r="G12" s="170"/>
      <c r="H12" s="169" t="s">
        <v>45</v>
      </c>
      <c r="I12" s="170"/>
      <c r="J12" s="6" t="s">
        <v>126</v>
      </c>
      <c r="K12" s="9"/>
    </row>
    <row r="13" spans="1:11" ht="21.75" customHeight="1" x14ac:dyDescent="0.2">
      <c r="A13" s="68" t="s">
        <v>140</v>
      </c>
      <c r="B13" s="154" t="s">
        <v>45</v>
      </c>
      <c r="C13" s="155"/>
      <c r="D13" s="154" t="s">
        <v>45</v>
      </c>
      <c r="E13" s="155"/>
      <c r="F13" s="154" t="s">
        <v>45</v>
      </c>
      <c r="G13" s="155"/>
      <c r="H13" s="154" t="s">
        <v>45</v>
      </c>
      <c r="I13" s="155"/>
      <c r="J13" s="6" t="s">
        <v>126</v>
      </c>
      <c r="K13" s="9"/>
    </row>
    <row r="14" spans="1:11" ht="15.75" customHeight="1" x14ac:dyDescent="0.2">
      <c r="A14" s="68" t="s">
        <v>161</v>
      </c>
      <c r="B14" s="154" t="s">
        <v>10</v>
      </c>
      <c r="C14" s="155"/>
      <c r="D14" s="154" t="s">
        <v>10</v>
      </c>
      <c r="E14" s="155"/>
      <c r="F14" s="154" t="s">
        <v>10</v>
      </c>
      <c r="G14" s="155"/>
      <c r="H14" s="154" t="s">
        <v>10</v>
      </c>
      <c r="I14" s="155"/>
      <c r="J14" s="6" t="s">
        <v>126</v>
      </c>
      <c r="K14" s="9"/>
    </row>
    <row r="15" spans="1:11" ht="30" customHeight="1" x14ac:dyDescent="0.2">
      <c r="A15" s="68" t="s">
        <v>206</v>
      </c>
      <c r="B15" s="154" t="s">
        <v>45</v>
      </c>
      <c r="C15" s="155"/>
      <c r="D15" s="154" t="s">
        <v>45</v>
      </c>
      <c r="E15" s="155"/>
      <c r="F15" s="154" t="s">
        <v>45</v>
      </c>
      <c r="G15" s="155"/>
      <c r="H15" s="154" t="s">
        <v>45</v>
      </c>
      <c r="I15" s="155"/>
      <c r="J15" s="6" t="s">
        <v>126</v>
      </c>
      <c r="K15" s="9"/>
    </row>
    <row r="16" spans="1:11" ht="45.75" customHeight="1" x14ac:dyDescent="0.2">
      <c r="H16" s="7"/>
      <c r="I16" s="7"/>
      <c r="J16" s="9"/>
      <c r="K16" s="9"/>
    </row>
    <row r="17" spans="1:11" ht="16.5" customHeight="1" x14ac:dyDescent="0.2">
      <c r="A17" s="162" t="s">
        <v>141</v>
      </c>
      <c r="B17" s="163" t="s">
        <v>0</v>
      </c>
      <c r="C17" s="164"/>
      <c r="D17" s="164" t="s">
        <v>1</v>
      </c>
      <c r="E17" s="164"/>
      <c r="F17" s="164" t="s">
        <v>2</v>
      </c>
      <c r="G17" s="164"/>
      <c r="H17" s="164" t="s">
        <v>3</v>
      </c>
      <c r="I17" s="165"/>
      <c r="K17" s="9"/>
    </row>
    <row r="18" spans="1:11" ht="16.5" customHeight="1" x14ac:dyDescent="0.2">
      <c r="A18" s="162"/>
      <c r="B18" s="108" t="s">
        <v>6</v>
      </c>
      <c r="C18" s="71" t="s">
        <v>7</v>
      </c>
      <c r="D18" s="72" t="s">
        <v>6</v>
      </c>
      <c r="E18" s="71" t="s">
        <v>7</v>
      </c>
      <c r="F18" s="72" t="s">
        <v>6</v>
      </c>
      <c r="G18" s="71" t="s">
        <v>7</v>
      </c>
      <c r="H18" s="72" t="s">
        <v>6</v>
      </c>
      <c r="I18" s="108" t="s">
        <v>7</v>
      </c>
      <c r="K18" s="9"/>
    </row>
    <row r="19" spans="1:11" ht="16.5" customHeight="1" x14ac:dyDescent="0.2">
      <c r="A19" s="73" t="s">
        <v>84</v>
      </c>
      <c r="B19" s="73"/>
      <c r="C19" s="74"/>
      <c r="D19" s="75"/>
      <c r="E19" s="76"/>
      <c r="F19" s="75"/>
      <c r="G19" s="76"/>
      <c r="H19" s="75"/>
      <c r="I19" s="77"/>
      <c r="K19" s="9"/>
    </row>
    <row r="20" spans="1:11" ht="16.5" customHeight="1" x14ac:dyDescent="0.2">
      <c r="A20" s="46" t="s">
        <v>142</v>
      </c>
      <c r="B20" s="53">
        <f>IF(B7=0,0,B7-0.01)</f>
        <v>0</v>
      </c>
      <c r="C20" s="54">
        <f>IF(B20=0,0,B8*VLOOKUP(B6,Данные!$B$5:$C$31,2,FALSE))</f>
        <v>0</v>
      </c>
      <c r="D20" s="53">
        <f>IF(D7=0,0,D7-0.01)</f>
        <v>0</v>
      </c>
      <c r="E20" s="54">
        <f>IF(D20=0,0,D8*VLOOKUP(D6,Данные!$B$5:$C$31,2,FALSE))</f>
        <v>0</v>
      </c>
      <c r="F20" s="53">
        <f>IF(F7=0,0,F7-0.01)</f>
        <v>0</v>
      </c>
      <c r="G20" s="54">
        <f>IF(F20=0,0,F8*VLOOKUP(F6,Данные!$B$5:$C$31,2,FALSE))</f>
        <v>0</v>
      </c>
      <c r="H20" s="55">
        <f>IF(H7=0,0,H7-0.01)</f>
        <v>0</v>
      </c>
      <c r="I20" s="56">
        <f>IF(H20=0,0,H8*VLOOKUP(H6,Данные!$B$5:$C$31,2,FALSE))</f>
        <v>0</v>
      </c>
      <c r="K20" s="9"/>
    </row>
    <row r="21" spans="1:11" ht="16.5" customHeight="1" x14ac:dyDescent="0.2">
      <c r="A21" s="46" t="s">
        <v>4</v>
      </c>
      <c r="B21" s="53">
        <f>IF(AND(B6&gt;0,B11="да"),0,B6)</f>
        <v>0</v>
      </c>
      <c r="C21" s="54">
        <f>IF(B21=0,0,IF(B8=0,0,IF(B8=1,2*2,IF(B10=0,(B8+1)*2-C22,(B8+1+B10)*2-C22))))</f>
        <v>0</v>
      </c>
      <c r="D21" s="53">
        <f>IF(AND(D6&gt;0,D11="да"),0,D6)</f>
        <v>0</v>
      </c>
      <c r="E21" s="54">
        <f>IF(D21=0,0,IF(D8=0,0,IF(D8=1,2*2,IF(D10=0,(D8+1)*2-E22,(D8+1+D10)*2-E22))))</f>
        <v>0</v>
      </c>
      <c r="F21" s="53">
        <f>IF(AND(F6&gt;0,F11="да"),0,F6)</f>
        <v>0</v>
      </c>
      <c r="G21" s="54">
        <f>IF(F21=0,0,IF(F8=0,0,IF(F8=1,2*2,IF(F10=0,(F8+1)*2-G22,(F8+1+F10)*2-G22))))</f>
        <v>0</v>
      </c>
      <c r="H21" s="55">
        <f>IF(AND(H6&gt;0,H11="да"),0,H6)</f>
        <v>0</v>
      </c>
      <c r="I21" s="56">
        <f>IF(H21=0,0,IF(H8=0,0,IF(H8=1,2*2,IF(H10=0,(H8+1)*2-I22,(H8+1+H10)*2-I22))))</f>
        <v>0</v>
      </c>
      <c r="J21" s="89"/>
      <c r="K21" s="9"/>
    </row>
    <row r="22" spans="1:11" ht="16.5" customHeight="1" x14ac:dyDescent="0.2">
      <c r="A22" s="46" t="s">
        <v>8</v>
      </c>
      <c r="B22" s="53">
        <f>IF(OR(AND(B9=0,B10=0),B11="да"),0,B6)</f>
        <v>0</v>
      </c>
      <c r="C22" s="54">
        <f>IF(B22=0,0,B9+B10*2)</f>
        <v>0</v>
      </c>
      <c r="D22" s="53">
        <f>IF(OR(AND(D9=0,D10=0),D11="да"),0,D6)</f>
        <v>0</v>
      </c>
      <c r="E22" s="54">
        <f>IF(D22=0,0,D9+D10*2)</f>
        <v>0</v>
      </c>
      <c r="F22" s="53">
        <f>IF(OR(AND(F9=0,F10=0),F11="да"),0,F6)</f>
        <v>0</v>
      </c>
      <c r="G22" s="54">
        <f>IF(F22=0,0,F9+F10*2)</f>
        <v>0</v>
      </c>
      <c r="H22" s="55">
        <f>IF(OR(AND(H9=0,H10=0),H11="да"),0,H6)</f>
        <v>0</v>
      </c>
      <c r="I22" s="56">
        <f>IF(H22=0,0,H9+H10*2)</f>
        <v>0</v>
      </c>
      <c r="K22" s="9"/>
    </row>
    <row r="23" spans="1:11" ht="16.5" customHeight="1" x14ac:dyDescent="0.2">
      <c r="A23" s="46" t="s">
        <v>5</v>
      </c>
      <c r="B23" s="53">
        <f>IF(B8=0,0,B6)</f>
        <v>0</v>
      </c>
      <c r="C23" s="54">
        <f>B8*(ROUNDDOWN(B7/1.01,0))</f>
        <v>0</v>
      </c>
      <c r="D23" s="53">
        <f>IF(D8=0,0,D6)</f>
        <v>0</v>
      </c>
      <c r="E23" s="54">
        <f>D8*(ROUNDDOWN(D7/1.01,0))</f>
        <v>0</v>
      </c>
      <c r="F23" s="53">
        <f>IF(F8=0,0,F6)</f>
        <v>0</v>
      </c>
      <c r="G23" s="54">
        <f>F8*(ROUNDDOWN(F7/1.01,0))</f>
        <v>0</v>
      </c>
      <c r="H23" s="55">
        <f>IF(H8=0,0,H6)</f>
        <v>0</v>
      </c>
      <c r="I23" s="56">
        <f>H8*(ROUNDDOWN(H7/1.01,0))</f>
        <v>0</v>
      </c>
      <c r="K23" s="9"/>
    </row>
    <row r="24" spans="1:11" ht="16.5" customHeight="1" x14ac:dyDescent="0.2">
      <c r="A24" s="46" t="s">
        <v>65</v>
      </c>
      <c r="B24" s="53">
        <f>IF(B8=0,0,B6)</f>
        <v>0</v>
      </c>
      <c r="C24" s="54">
        <f>2*B8</f>
        <v>0</v>
      </c>
      <c r="D24" s="53">
        <f>IF(D8=0,0,D6)</f>
        <v>0</v>
      </c>
      <c r="E24" s="54">
        <f>2*D8</f>
        <v>0</v>
      </c>
      <c r="F24" s="53">
        <f>IF(F8=0,0,F6)</f>
        <v>0</v>
      </c>
      <c r="G24" s="54">
        <f>2*F8</f>
        <v>0</v>
      </c>
      <c r="H24" s="55">
        <f>IF(H8=0,0,H6)</f>
        <v>0</v>
      </c>
      <c r="I24" s="56">
        <f>2*H8</f>
        <v>0</v>
      </c>
      <c r="K24" s="9"/>
    </row>
    <row r="25" spans="1:11" ht="16.5" customHeight="1" x14ac:dyDescent="0.2">
      <c r="A25" s="46" t="s">
        <v>82</v>
      </c>
      <c r="B25" s="53">
        <f>IF(B7=0,0,ROUND(B7,2))</f>
        <v>0</v>
      </c>
      <c r="C25" s="54">
        <f>1*B8</f>
        <v>0</v>
      </c>
      <c r="D25" s="53">
        <f>IF(D7=0,0,ROUND(D7,2))</f>
        <v>0</v>
      </c>
      <c r="E25" s="54">
        <f>1*D8</f>
        <v>0</v>
      </c>
      <c r="F25" s="53">
        <f>IF(F7=0,0,ROUND(F7,2))</f>
        <v>0</v>
      </c>
      <c r="G25" s="54">
        <f>1*F8</f>
        <v>0</v>
      </c>
      <c r="H25" s="53">
        <f>IF(H7=0,0,ROUND(H7,2))</f>
        <v>0</v>
      </c>
      <c r="I25" s="56">
        <f>1*H8</f>
        <v>0</v>
      </c>
      <c r="K25" s="9"/>
    </row>
    <row r="26" spans="1:11" ht="16.5" customHeight="1" x14ac:dyDescent="0.2">
      <c r="A26" s="107" t="s">
        <v>162</v>
      </c>
      <c r="B26" s="57" t="s">
        <v>10</v>
      </c>
      <c r="C26" s="54">
        <f>IF(B11="да",0,(IF(B8=0,0,IF(B8=1,2,IF(B10=0,B8+1,B8+1+B10)))))</f>
        <v>0</v>
      </c>
      <c r="D26" s="57" t="s">
        <v>10</v>
      </c>
      <c r="E26" s="54">
        <f>IF(D11="да",0,(IF(D8=0,0,IF(D8=1,2,IF(D10=0,D8+1,D8+1+D10)))))</f>
        <v>0</v>
      </c>
      <c r="F26" s="57" t="s">
        <v>10</v>
      </c>
      <c r="G26" s="54">
        <f>IF(F11="да",0,(IF(F8=0,0,IF(F8=1,2,IF(F10=0,F8+1,F8+1+F10)))))</f>
        <v>0</v>
      </c>
      <c r="H26" s="58" t="s">
        <v>10</v>
      </c>
      <c r="I26" s="56">
        <f>IF(H11="да",0,(IF(H8=0,0,IF(H8=1,2,IF(H10=0,H8+1,H8+1+H10)))))</f>
        <v>0</v>
      </c>
      <c r="K26" s="9"/>
    </row>
    <row r="27" spans="1:11" ht="16.5" customHeight="1" x14ac:dyDescent="0.2">
      <c r="A27" s="46" t="s">
        <v>9</v>
      </c>
      <c r="B27" s="53" t="s">
        <v>10</v>
      </c>
      <c r="C27" s="54">
        <f>IF(B8=0,0,2)</f>
        <v>0</v>
      </c>
      <c r="D27" s="53" t="s">
        <v>10</v>
      </c>
      <c r="E27" s="54">
        <v>0</v>
      </c>
      <c r="F27" s="53" t="s">
        <v>10</v>
      </c>
      <c r="G27" s="54">
        <v>0</v>
      </c>
      <c r="H27" s="55" t="s">
        <v>10</v>
      </c>
      <c r="I27" s="56">
        <v>0</v>
      </c>
      <c r="K27" s="9"/>
    </row>
    <row r="28" spans="1:11" ht="16.5" customHeight="1" x14ac:dyDescent="0.2">
      <c r="A28" s="109" t="s">
        <v>12</v>
      </c>
      <c r="B28" s="57" t="str">
        <f>IF(C28=0,"-","5,5х19")</f>
        <v>-</v>
      </c>
      <c r="C28" s="54">
        <f>IF(B11="да",0,(C24*5))</f>
        <v>0</v>
      </c>
      <c r="D28" s="57" t="str">
        <f>IF(E28=0,"-","5,5х19")</f>
        <v>-</v>
      </c>
      <c r="E28" s="54">
        <f>IF(D11="да",0,(E24*5))</f>
        <v>0</v>
      </c>
      <c r="F28" s="57" t="str">
        <f>IF(G28=0,"-","5,5х19")</f>
        <v>-</v>
      </c>
      <c r="G28" s="54">
        <f>IF(F11="да",0,(G24*5))</f>
        <v>0</v>
      </c>
      <c r="H28" s="58" t="str">
        <f>IF(I28=0,"-","5,5х19")</f>
        <v>-</v>
      </c>
      <c r="I28" s="56">
        <f>IF(H11="да",0,(I24*5))</f>
        <v>0</v>
      </c>
      <c r="K28" s="9"/>
    </row>
    <row r="29" spans="1:11" ht="16.5" customHeight="1" x14ac:dyDescent="0.2">
      <c r="A29" s="46" t="s">
        <v>13</v>
      </c>
      <c r="B29" s="57" t="str">
        <f>IF(C29=0,"-","4,2x16")</f>
        <v>-</v>
      </c>
      <c r="C29" s="54">
        <f>IF(B8=0,0,C20*4+C25*4+IF(B8&gt;0,C20/B8*C23,0))</f>
        <v>0</v>
      </c>
      <c r="D29" s="57" t="str">
        <f>IF(E29=0,"-","4,2x16")</f>
        <v>-</v>
      </c>
      <c r="E29" s="54">
        <f>IF(D8=0,0,E20*4+E25*4+IF(D8&gt;0,E20/D8*E23,0))</f>
        <v>0</v>
      </c>
      <c r="F29" s="57" t="str">
        <f>IF(G29=0,"-","4,2x16")</f>
        <v>-</v>
      </c>
      <c r="G29" s="54">
        <f>IF(F8=0,0,G20*4+G25*4+IF(F8&gt;0,G20/F8*G23,0))</f>
        <v>0</v>
      </c>
      <c r="H29" s="58" t="str">
        <f>IF(I29=0,"-","4,2x16")</f>
        <v>-</v>
      </c>
      <c r="I29" s="56">
        <f>IF(H8=0,0,I20*4+I25*4+IF(H8&gt;0,I20/H8*I23,0))</f>
        <v>0</v>
      </c>
      <c r="K29" s="9"/>
    </row>
    <row r="30" spans="1:11" ht="16.5" customHeight="1" x14ac:dyDescent="0.2">
      <c r="A30" s="46" t="s">
        <v>301</v>
      </c>
      <c r="B30" s="57" t="str">
        <f>IF(C30=0,"-","7,5x52")</f>
        <v>-</v>
      </c>
      <c r="C30" s="54">
        <f>IF(B$8=0,0,IF(B$11="да",C24*5,0))</f>
        <v>0</v>
      </c>
      <c r="D30" s="57" t="str">
        <f>IF(E30=0,"-","7,5x52")</f>
        <v>-</v>
      </c>
      <c r="E30" s="54">
        <f>IF(D$8=0,0,IF(D$11="да",E24*5,0))</f>
        <v>0</v>
      </c>
      <c r="F30" s="57" t="str">
        <f>IF(G30=0,"-","7,5x52")</f>
        <v>-</v>
      </c>
      <c r="G30" s="54">
        <f>IF(F$8=0,0,IF(F$11="да",G24*5,0))</f>
        <v>0</v>
      </c>
      <c r="H30" s="57" t="str">
        <f>IF(I30=0,"-","7,5x52")</f>
        <v>-</v>
      </c>
      <c r="I30" s="56">
        <f>IF(H$8=0,0,IF(H$11="да",I24*5,0))</f>
        <v>0</v>
      </c>
      <c r="K30" s="9"/>
    </row>
    <row r="31" spans="1:11" ht="16.5" customHeight="1" x14ac:dyDescent="0.2">
      <c r="A31" s="46" t="s">
        <v>302</v>
      </c>
      <c r="B31" s="57"/>
      <c r="C31" s="54">
        <f>C30</f>
        <v>0</v>
      </c>
      <c r="D31" s="57"/>
      <c r="E31" s="54">
        <f>E30</f>
        <v>0</v>
      </c>
      <c r="F31" s="57"/>
      <c r="G31" s="54">
        <f>G30</f>
        <v>0</v>
      </c>
      <c r="H31" s="57"/>
      <c r="I31" s="56">
        <f>I30</f>
        <v>0</v>
      </c>
      <c r="K31" s="9"/>
    </row>
    <row r="32" spans="1:11" ht="16.5" customHeight="1" x14ac:dyDescent="0.2">
      <c r="A32" s="46" t="s">
        <v>205</v>
      </c>
      <c r="B32" s="57"/>
      <c r="C32" s="54">
        <f>IF(AND(B15="да",B6=2.1),B8*2,0)</f>
        <v>0</v>
      </c>
      <c r="D32" s="57"/>
      <c r="E32" s="54">
        <f>IF(AND(D15="да",D6=2.1),D8*2,0)</f>
        <v>0</v>
      </c>
      <c r="F32" s="57"/>
      <c r="G32" s="54">
        <f>IF(AND(F15="да",F6=2.1),F8*2,0)</f>
        <v>0</v>
      </c>
      <c r="H32" s="57"/>
      <c r="I32" s="54">
        <f>IF(AND(H15="да",H6=2.1),H8*2,0)</f>
        <v>0</v>
      </c>
      <c r="J32" s="52"/>
      <c r="K32" s="9"/>
    </row>
    <row r="33" spans="1:11" ht="24" customHeight="1" x14ac:dyDescent="0.2">
      <c r="A33" s="46"/>
      <c r="B33" s="177" t="str">
        <f>IF(AND(B15="да",B6=2.1),"-","Крепежный вкладыш не применяется")</f>
        <v>Крепежный вкладыш не применяется</v>
      </c>
      <c r="C33" s="175"/>
      <c r="D33" s="177" t="str">
        <f>IF(AND(D15="да",D6=2.1),"-","Крепежный вкладыш не применяется")</f>
        <v>Крепежный вкладыш не применяется</v>
      </c>
      <c r="E33" s="175"/>
      <c r="F33" s="177" t="str">
        <f>IF(AND(F15="да",F6=2.1),"-","Крепежный вкладыш не применяется")</f>
        <v>Крепежный вкладыш не применяется</v>
      </c>
      <c r="G33" s="175"/>
      <c r="H33" s="177" t="str">
        <f>IF(AND(H15="да",H6=2.1),"-","Крепежный вкладыш не применяется")</f>
        <v>Крепежный вкладыш не применяется</v>
      </c>
      <c r="I33" s="175"/>
      <c r="J33" s="52"/>
      <c r="K33" s="9"/>
    </row>
    <row r="34" spans="1:11" ht="16.5" customHeight="1" x14ac:dyDescent="0.2">
      <c r="A34" s="73" t="s">
        <v>15</v>
      </c>
      <c r="B34" s="78"/>
      <c r="C34" s="79"/>
      <c r="D34" s="80"/>
      <c r="E34" s="81"/>
      <c r="F34" s="82"/>
      <c r="G34" s="79"/>
      <c r="H34" s="82"/>
      <c r="I34" s="78"/>
      <c r="K34" s="9"/>
    </row>
    <row r="35" spans="1:11" ht="16.5" customHeight="1" x14ac:dyDescent="0.2">
      <c r="A35" s="46" t="str">
        <f>IF(B12="нет","-",B12)</f>
        <v>-</v>
      </c>
      <c r="B35" s="59"/>
      <c r="C35" s="54">
        <f>IF($B$12=$A35,1,0)</f>
        <v>0</v>
      </c>
      <c r="D35" s="60"/>
      <c r="E35" s="54"/>
      <c r="F35" s="60"/>
      <c r="G35" s="54"/>
      <c r="H35" s="60"/>
      <c r="I35" s="56"/>
      <c r="K35" s="9"/>
    </row>
    <row r="36" spans="1:11" ht="16.5" customHeight="1" x14ac:dyDescent="0.2">
      <c r="A36" s="46" t="str">
        <f>IF(D12="нет","-",D12)</f>
        <v>-</v>
      </c>
      <c r="B36" s="59"/>
      <c r="C36" s="54"/>
      <c r="D36" s="60"/>
      <c r="E36" s="54">
        <f>IF($D$12=$A36,1,0)</f>
        <v>0</v>
      </c>
      <c r="F36" s="60"/>
      <c r="G36" s="54"/>
      <c r="H36" s="60"/>
      <c r="I36" s="56"/>
      <c r="K36" s="9"/>
    </row>
    <row r="37" spans="1:11" ht="16.5" customHeight="1" x14ac:dyDescent="0.2">
      <c r="A37" s="46" t="str">
        <f>IF(F12="нет","-",F12)</f>
        <v>-</v>
      </c>
      <c r="B37" s="59"/>
      <c r="C37" s="54"/>
      <c r="D37" s="60"/>
      <c r="E37" s="54"/>
      <c r="F37" s="60"/>
      <c r="G37" s="54">
        <f>IF($F$12=$A37,1,0)</f>
        <v>0</v>
      </c>
      <c r="H37" s="60"/>
      <c r="I37" s="56"/>
      <c r="K37" s="9"/>
    </row>
    <row r="38" spans="1:11" ht="16.5" customHeight="1" x14ac:dyDescent="0.2">
      <c r="A38" s="46" t="str">
        <f>IF(H12="нет","-",H12)</f>
        <v>-</v>
      </c>
      <c r="B38" s="59"/>
      <c r="C38" s="54"/>
      <c r="D38" s="60"/>
      <c r="E38" s="54"/>
      <c r="F38" s="60"/>
      <c r="G38" s="54"/>
      <c r="H38" s="60"/>
      <c r="I38" s="56">
        <f>IF($H$12=$A38,1,0)</f>
        <v>0</v>
      </c>
      <c r="K38" s="9"/>
    </row>
    <row r="39" spans="1:11" ht="16.5" customHeight="1" x14ac:dyDescent="0.2">
      <c r="A39" s="73" t="s">
        <v>18</v>
      </c>
      <c r="B39" s="78"/>
      <c r="C39" s="79"/>
      <c r="D39" s="80"/>
      <c r="E39" s="79"/>
      <c r="F39" s="82"/>
      <c r="G39" s="79"/>
      <c r="H39" s="82"/>
      <c r="I39" s="78"/>
      <c r="K39" s="9"/>
    </row>
    <row r="40" spans="1:11" ht="16.5" customHeight="1" x14ac:dyDescent="0.2">
      <c r="A40" s="46" t="str">
        <f>IF(B13="нет","-",B13)</f>
        <v>-</v>
      </c>
      <c r="B40" s="59"/>
      <c r="C40" s="54">
        <f>IF(B$13=$A40,1,0)</f>
        <v>0</v>
      </c>
      <c r="D40" s="60"/>
      <c r="E40" s="54"/>
      <c r="F40" s="60"/>
      <c r="G40" s="54"/>
      <c r="H40" s="60"/>
      <c r="I40" s="56"/>
      <c r="K40" s="9"/>
    </row>
    <row r="41" spans="1:11" ht="16.5" customHeight="1" x14ac:dyDescent="0.2">
      <c r="A41" s="46" t="str">
        <f>IF(D13="нет","-",D13)</f>
        <v>-</v>
      </c>
      <c r="B41" s="59"/>
      <c r="C41" s="54"/>
      <c r="D41" s="60"/>
      <c r="E41" s="54">
        <f t="shared" ref="E41" si="0">IF(D$13=$A41,1,0)</f>
        <v>0</v>
      </c>
      <c r="F41" s="60"/>
      <c r="G41" s="54"/>
      <c r="H41" s="60"/>
      <c r="I41" s="56"/>
      <c r="K41" s="9"/>
    </row>
    <row r="42" spans="1:11" ht="16.5" customHeight="1" x14ac:dyDescent="0.2">
      <c r="A42" s="46" t="str">
        <f>IF(F13="нет","-",F13)</f>
        <v>-</v>
      </c>
      <c r="B42" s="59"/>
      <c r="C42" s="54"/>
      <c r="D42" s="60"/>
      <c r="E42" s="54"/>
      <c r="F42" s="60"/>
      <c r="G42" s="54">
        <f t="shared" ref="G42" si="1">IF(F$13=$A42,1,0)</f>
        <v>0</v>
      </c>
      <c r="H42" s="60"/>
      <c r="I42" s="56"/>
      <c r="K42" s="9"/>
    </row>
    <row r="43" spans="1:11" ht="16.5" customHeight="1" x14ac:dyDescent="0.2">
      <c r="A43" s="46" t="str">
        <f>IF(H13="нет","-",H13)</f>
        <v>-</v>
      </c>
      <c r="B43" s="59"/>
      <c r="C43" s="54"/>
      <c r="D43" s="60"/>
      <c r="E43" s="54"/>
      <c r="F43" s="60"/>
      <c r="G43" s="54"/>
      <c r="H43" s="60"/>
      <c r="I43" s="56">
        <f t="shared" ref="I43" si="2">IF(H$13=$A43,1,0)</f>
        <v>0</v>
      </c>
      <c r="K43" s="9"/>
    </row>
    <row r="44" spans="1:11" ht="16.5" customHeight="1" x14ac:dyDescent="0.2">
      <c r="A44" s="73" t="s">
        <v>39</v>
      </c>
      <c r="B44" s="78"/>
      <c r="C44" s="79"/>
      <c r="D44" s="83"/>
      <c r="E44" s="84"/>
      <c r="F44" s="82"/>
      <c r="G44" s="79"/>
      <c r="H44" s="82"/>
      <c r="I44" s="78"/>
      <c r="K44" s="11"/>
    </row>
    <row r="45" spans="1:11" ht="16.5" customHeight="1" x14ac:dyDescent="0.2">
      <c r="A45" s="46" t="s">
        <v>142</v>
      </c>
      <c r="B45" s="53" t="str">
        <f>VLOOKUP(B12,Данные!$A$35:$M$40,4,FALSE)</f>
        <v>-</v>
      </c>
      <c r="C45" s="54">
        <f>VLOOKUP(B12,Данные!$A$35:$M$40,3,FALSE)</f>
        <v>0</v>
      </c>
      <c r="D45" s="55" t="str">
        <f>VLOOKUP(D12,Данные!$A$35:$M$40,4,FALSE)</f>
        <v>-</v>
      </c>
      <c r="E45" s="54">
        <f>VLOOKUP(D12,Данные!$A$35:$M$40,3,FALSE)</f>
        <v>0</v>
      </c>
      <c r="F45" s="55" t="str">
        <f>VLOOKUP(F12,Данные!$A$35:$M$40,4,FALSE)</f>
        <v>-</v>
      </c>
      <c r="G45" s="54">
        <f>VLOOKUP(F12,Данные!$A$35:$M$40,3,FALSE)</f>
        <v>0</v>
      </c>
      <c r="H45" s="55" t="str">
        <f>VLOOKUP(H12,Данные!$A$35:$M$40,4,FALSE)</f>
        <v>-</v>
      </c>
      <c r="I45" s="56">
        <f>VLOOKUP(H12,Данные!$A$35:$M$40,3,FALSE)</f>
        <v>0</v>
      </c>
      <c r="K45" s="11"/>
    </row>
    <row r="46" spans="1:11" ht="16.5" customHeight="1" x14ac:dyDescent="0.2">
      <c r="A46" s="46" t="s">
        <v>65</v>
      </c>
      <c r="B46" s="53" t="str">
        <f>VLOOKUP(B12,Данные!$A$35:$M$40,6,FALSE)</f>
        <v>-</v>
      </c>
      <c r="C46" s="61">
        <f>VLOOKUP(B12,Данные!$A$35:$M$40,5,FALSE)</f>
        <v>0</v>
      </c>
      <c r="D46" s="55" t="str">
        <f>VLOOKUP(D12,Данные!$A$35:$M$40,6,FALSE)</f>
        <v>-</v>
      </c>
      <c r="E46" s="61">
        <f>VLOOKUP(D12,Данные!$A$35:$M$40,5,FALSE)</f>
        <v>0</v>
      </c>
      <c r="F46" s="55" t="str">
        <f>VLOOKUP(F12,Данные!$A$35:$M$40,6,FALSE)</f>
        <v>-</v>
      </c>
      <c r="G46" s="61">
        <f>VLOOKUP(F12,Данные!$A$35:$M$40,5,FALSE)</f>
        <v>0</v>
      </c>
      <c r="H46" s="55" t="str">
        <f>VLOOKUP(H12,Данные!$A$35:$M$40,6,FALSE)</f>
        <v>-</v>
      </c>
      <c r="I46" s="53">
        <f>VLOOKUP(H12,Данные!$A$35:$M$40,5,FALSE)</f>
        <v>0</v>
      </c>
      <c r="K46" s="11"/>
    </row>
    <row r="47" spans="1:11" ht="16.5" customHeight="1" x14ac:dyDescent="0.2">
      <c r="A47" s="46" t="s">
        <v>143</v>
      </c>
      <c r="B47" s="53" t="str">
        <f>VLOOKUP(B12,Данные!$A$35:$M$40,8,FALSE)</f>
        <v>-</v>
      </c>
      <c r="C47" s="61">
        <f>VLOOKUP(B12,Данные!$A$35:$M$40,7,FALSE)</f>
        <v>0</v>
      </c>
      <c r="D47" s="55" t="str">
        <f>VLOOKUP(D12,Данные!$A$35:$M$40,8,FALSE)</f>
        <v>-</v>
      </c>
      <c r="E47" s="61">
        <f>VLOOKUP(D12,Данные!$A$35:$M$40,7,FALSE)</f>
        <v>0</v>
      </c>
      <c r="F47" s="55" t="str">
        <f>VLOOKUP(F12,Данные!$A$35:$M$40,8,FALSE)</f>
        <v>-</v>
      </c>
      <c r="G47" s="61">
        <f>VLOOKUP(F12,Данные!$A$35:$M$40,7,FALSE)</f>
        <v>0</v>
      </c>
      <c r="H47" s="55" t="str">
        <f>VLOOKUP(H12,Данные!$A$35:$M$40,8,FALSE)</f>
        <v>-</v>
      </c>
      <c r="I47" s="53">
        <f>VLOOKUP(H12,Данные!$A$35:$M$40,7,FALSE)</f>
        <v>0</v>
      </c>
      <c r="K47" s="11"/>
    </row>
    <row r="48" spans="1:11" ht="16.5" customHeight="1" x14ac:dyDescent="0.2">
      <c r="A48" s="46" t="s">
        <v>12</v>
      </c>
      <c r="B48" s="53" t="str">
        <f>IF(C48=0,"-","5,5х19")</f>
        <v>-</v>
      </c>
      <c r="C48" s="54">
        <f>VLOOKUP(B12,Данные!$A$35:$M$40,13,FALSE)</f>
        <v>0</v>
      </c>
      <c r="D48" s="55" t="str">
        <f>IF(E48=0,"-","5,5х19")</f>
        <v>-</v>
      </c>
      <c r="E48" s="54">
        <f>VLOOKUP(D12,Данные!$A$35:$M$40,13,FALSE)</f>
        <v>0</v>
      </c>
      <c r="F48" s="55" t="str">
        <f>IF(G48=0,"-","5,5х19")</f>
        <v>-</v>
      </c>
      <c r="G48" s="54">
        <f>VLOOKUP(F12,Данные!$A$35:$M$40,13,FALSE)</f>
        <v>0</v>
      </c>
      <c r="H48" s="55" t="str">
        <f>IF(I48=0,"-","5,5х19")</f>
        <v>-</v>
      </c>
      <c r="I48" s="56">
        <f>VLOOKUP(H12,Данные!$A$35:$M$40,13,FALSE)</f>
        <v>0</v>
      </c>
      <c r="K48" s="11"/>
    </row>
    <row r="49" spans="1:33" ht="16.5" customHeight="1" x14ac:dyDescent="0.2">
      <c r="A49" s="109" t="s">
        <v>46</v>
      </c>
      <c r="B49" s="53" t="s">
        <v>10</v>
      </c>
      <c r="C49" s="54">
        <f>VLOOKUP(B12,Данные!$A$35:$M$40,9,FALSE)</f>
        <v>0</v>
      </c>
      <c r="D49" s="55" t="s">
        <v>10</v>
      </c>
      <c r="E49" s="54">
        <f>VLOOKUP(D12,Данные!$A$35:$M$40,9,FALSE)</f>
        <v>0</v>
      </c>
      <c r="F49" s="55" t="s">
        <v>10</v>
      </c>
      <c r="G49" s="54">
        <f>VLOOKUP(F12,Данные!$A$35:$M$40,9,FALSE)</f>
        <v>0</v>
      </c>
      <c r="H49" s="55" t="s">
        <v>10</v>
      </c>
      <c r="I49" s="56">
        <f>VLOOKUP(H12,Данные!$A$35:$M$40,9,FALSE)</f>
        <v>0</v>
      </c>
      <c r="K49" s="11"/>
    </row>
    <row r="50" spans="1:33" ht="16.5" customHeight="1" x14ac:dyDescent="0.2">
      <c r="A50" s="109" t="s">
        <v>48</v>
      </c>
      <c r="B50" s="53" t="s">
        <v>10</v>
      </c>
      <c r="C50" s="54">
        <f>VLOOKUP(B12,Данные!$A$35:$M$40,10,FALSE)</f>
        <v>0</v>
      </c>
      <c r="D50" s="55" t="s">
        <v>10</v>
      </c>
      <c r="E50" s="54">
        <f>VLOOKUP(D12,Данные!$A$35:$M$40,10,FALSE)</f>
        <v>0</v>
      </c>
      <c r="F50" s="55" t="s">
        <v>10</v>
      </c>
      <c r="G50" s="54">
        <f>VLOOKUP(F12,Данные!$A$35:$M$40,10,FALSE)</f>
        <v>0</v>
      </c>
      <c r="H50" s="55" t="s">
        <v>10</v>
      </c>
      <c r="I50" s="56">
        <f>VLOOKUP(H12,Данные!$A$35:$M$40,10,FALSE)</f>
        <v>0</v>
      </c>
      <c r="K50" s="11"/>
    </row>
    <row r="51" spans="1:33" ht="16.5" customHeight="1" x14ac:dyDescent="0.2">
      <c r="A51" s="109" t="s">
        <v>199</v>
      </c>
      <c r="B51" s="53" t="s">
        <v>10</v>
      </c>
      <c r="C51" s="54">
        <f>VLOOKUP(B12,Данные!$A$35:$M$40,11,FALSE)</f>
        <v>0</v>
      </c>
      <c r="D51" s="55" t="s">
        <v>10</v>
      </c>
      <c r="E51" s="54">
        <f>VLOOKUP(D12,Данные!$A$35:$M$40,11,FALSE)</f>
        <v>0</v>
      </c>
      <c r="F51" s="55" t="s">
        <v>10</v>
      </c>
      <c r="G51" s="54">
        <f>VLOOKUP(F12,Данные!$A$35:$M$40,11,FALSE)</f>
        <v>0</v>
      </c>
      <c r="H51" s="55" t="s">
        <v>10</v>
      </c>
      <c r="I51" s="56">
        <f>VLOOKUP(H12,Данные!$A$35:$M$40,11,FALSE)</f>
        <v>0</v>
      </c>
      <c r="K51" s="11"/>
    </row>
    <row r="52" spans="1:33" ht="16.5" customHeight="1" x14ac:dyDescent="0.2">
      <c r="A52" s="73" t="s">
        <v>49</v>
      </c>
      <c r="B52" s="78"/>
      <c r="C52" s="79"/>
      <c r="D52" s="82"/>
      <c r="E52" s="79"/>
      <c r="F52" s="82"/>
      <c r="G52" s="79"/>
      <c r="H52" s="82"/>
      <c r="I52" s="78"/>
      <c r="K52" s="11"/>
    </row>
    <row r="53" spans="1:33" ht="16.5" customHeight="1" x14ac:dyDescent="0.2">
      <c r="A53" s="46" t="s">
        <v>237</v>
      </c>
      <c r="B53" s="53" t="str">
        <f>IF(C53=0,"-",VLOOKUP(B13,Данные!$A$42:$R$65,4,FALSE))</f>
        <v>-</v>
      </c>
      <c r="C53" s="54">
        <f>VLOOKUP(B13,Данные!$A$42:$R$65,3,FALSE)</f>
        <v>0</v>
      </c>
      <c r="D53" s="53" t="str">
        <f>IF(E53=0,"-",VLOOKUP(D13,Данные!$A$42:$R$65,4,FALSE))</f>
        <v>-</v>
      </c>
      <c r="E53" s="54">
        <f>VLOOKUP(D13,Данные!$A$42:$R$65,3,FALSE)</f>
        <v>0</v>
      </c>
      <c r="F53" s="53" t="str">
        <f>IF(G53=0,"-",VLOOKUP(F13,Данные!$A$42:$R$65,4,FALSE))</f>
        <v>-</v>
      </c>
      <c r="G53" s="54">
        <f>VLOOKUP(F13,Данные!$A$42:$R$65,3,FALSE)</f>
        <v>0</v>
      </c>
      <c r="H53" s="53" t="str">
        <f>IF(I53=0,"-",VLOOKUP(H13,Данные!$A$42:$R$65,4,FALSE))</f>
        <v>-</v>
      </c>
      <c r="I53" s="56">
        <f>VLOOKUP(H13,Данные!$A$42:$R$65,3,FALSE)</f>
        <v>0</v>
      </c>
      <c r="K53" s="11"/>
    </row>
    <row r="54" spans="1:33" ht="16.5" customHeight="1" x14ac:dyDescent="0.2">
      <c r="A54" s="46" t="s">
        <v>238</v>
      </c>
      <c r="B54" s="53" t="str">
        <f>IF(C54=0,"-",VLOOKUP(B13,Данные!$A$42:$R$65,16,FALSE))</f>
        <v>-</v>
      </c>
      <c r="C54" s="54">
        <f>VLOOKUP(B13,Данные!$A$42:$R$65,15,FALSE)</f>
        <v>0</v>
      </c>
      <c r="D54" s="53" t="str">
        <f>IF(E54=0,"-",VLOOKUP(D13,Данные!$A$42:$R$65,16,FALSE))</f>
        <v>-</v>
      </c>
      <c r="E54" s="54">
        <f>VLOOKUP(D13,Данные!$A$42:$R$65,15,FALSE)</f>
        <v>0</v>
      </c>
      <c r="F54" s="53" t="str">
        <f>IF(G54=0,"-",VLOOKUP(F13,Данные!$A$42:$R$65,16,FALSE))</f>
        <v>-</v>
      </c>
      <c r="G54" s="54">
        <f>VLOOKUP(F13,Данные!$A$42:$R$65,15,FALSE)</f>
        <v>0</v>
      </c>
      <c r="H54" s="53" t="str">
        <f>IF(I54=0,"-",VLOOKUP(H13,Данные!$A$42:$R$65,16,FALSE))</f>
        <v>-</v>
      </c>
      <c r="I54" s="56">
        <f>VLOOKUP(H13,Данные!$A$42:$R$65,15,FALSE)</f>
        <v>0</v>
      </c>
      <c r="K54" s="110"/>
    </row>
    <row r="55" spans="1:33" ht="16.5" customHeight="1" x14ac:dyDescent="0.2">
      <c r="A55" s="46" t="s">
        <v>65</v>
      </c>
      <c r="B55" s="53" t="str">
        <f>VLOOKUP(B13,Данные!$A$42:$R$65,6,FALSE)</f>
        <v>-</v>
      </c>
      <c r="C55" s="54">
        <f>VLOOKUP(B13,Данные!$A$42:$R$65,5,FALSE)</f>
        <v>0</v>
      </c>
      <c r="D55" s="53" t="str">
        <f>VLOOKUP(D13,Данные!$A$42:$R$65,6,FALSE)</f>
        <v>-</v>
      </c>
      <c r="E55" s="54">
        <f>VLOOKUP(D13,Данные!$A$42:$R$65,5,FALSE)</f>
        <v>0</v>
      </c>
      <c r="F55" s="53" t="str">
        <f>VLOOKUP(F13,Данные!$A$42:$R$65,6,FALSE)</f>
        <v>-</v>
      </c>
      <c r="G55" s="54">
        <f>VLOOKUP(F13,Данные!$A$42:$R$65,5,FALSE)</f>
        <v>0</v>
      </c>
      <c r="H55" s="53" t="str">
        <f>VLOOKUP(H13,Данные!$A$42:$R$65,6,FALSE)</f>
        <v>-</v>
      </c>
      <c r="I55" s="56">
        <f>VLOOKUP(H13,Данные!$A$42:$R$65,5,FALSE)</f>
        <v>0</v>
      </c>
      <c r="K55" s="11"/>
      <c r="R55" s="12"/>
      <c r="S55" s="6"/>
      <c r="T55" s="6"/>
      <c r="U55" s="6"/>
      <c r="V55" s="6"/>
      <c r="W55" s="6"/>
      <c r="X55" s="6"/>
      <c r="Y55" s="6"/>
      <c r="Z55" s="13"/>
      <c r="AA55" s="11"/>
      <c r="AB55" s="14"/>
      <c r="AC55" s="14"/>
      <c r="AD55" s="14"/>
    </row>
    <row r="56" spans="1:33" ht="16.5" customHeight="1" x14ac:dyDescent="0.2">
      <c r="A56" s="46" t="s">
        <v>239</v>
      </c>
      <c r="B56" s="53" t="str">
        <f>VLOOKUP(B13,Данные!$A$42:$R$65,8,FALSE)</f>
        <v>-</v>
      </c>
      <c r="C56" s="54">
        <f>VLOOKUP(B13,Данные!$A$42:$R$65,7,FALSE)</f>
        <v>0</v>
      </c>
      <c r="D56" s="53" t="str">
        <f>VLOOKUP(D13,Данные!$A$42:$R$65,8,FALSE)</f>
        <v>-</v>
      </c>
      <c r="E56" s="54">
        <f>VLOOKUP(D13,Данные!$A$42:$R$65,7,FALSE)</f>
        <v>0</v>
      </c>
      <c r="F56" s="53" t="str">
        <f>VLOOKUP(F13,Данные!$A$42:$R$65,8,FALSE)</f>
        <v>-</v>
      </c>
      <c r="G56" s="54">
        <f>VLOOKUP(F13,Данные!$A$42:$R$65,7,FALSE)</f>
        <v>0</v>
      </c>
      <c r="H56" s="53" t="str">
        <f>VLOOKUP(H13,Данные!$A$42:$R$65,8,FALSE)</f>
        <v>-</v>
      </c>
      <c r="I56" s="56">
        <f>VLOOKUP(H13,Данные!$A$42:$R$65,7,FALSE)</f>
        <v>0</v>
      </c>
      <c r="K56" s="11"/>
      <c r="R56" s="12"/>
      <c r="S56" s="6"/>
      <c r="T56" s="6"/>
      <c r="U56" s="6"/>
      <c r="V56" s="6"/>
      <c r="W56" s="6"/>
      <c r="X56" s="6"/>
      <c r="Y56" s="6"/>
      <c r="Z56" s="13"/>
      <c r="AA56" s="11"/>
      <c r="AB56" s="14"/>
      <c r="AC56" s="14"/>
      <c r="AD56" s="14"/>
    </row>
    <row r="57" spans="1:33" ht="16.5" customHeight="1" x14ac:dyDescent="0.2">
      <c r="A57" s="46" t="s">
        <v>240</v>
      </c>
      <c r="B57" s="53" t="str">
        <f>IF(C57=0,"-",VLOOKUP(B13,Данные!$A$42:$R$65,18,FALSE))</f>
        <v>-</v>
      </c>
      <c r="C57" s="54">
        <f>VLOOKUP(B13,Данные!$A$42:$R$65,17,FALSE)</f>
        <v>0</v>
      </c>
      <c r="D57" s="53" t="str">
        <f>IF(E57=0,"-",VLOOKUP(D13,Данные!$A$42:$R$65,18,FALSE))</f>
        <v>-</v>
      </c>
      <c r="E57" s="54">
        <f>VLOOKUP(D13,Данные!$A$42:$R$65,17,FALSE)</f>
        <v>0</v>
      </c>
      <c r="F57" s="53" t="str">
        <f>IF(G57=0,"-",VLOOKUP(F13,Данные!$A$42:$R$65,18,FALSE))</f>
        <v>-</v>
      </c>
      <c r="G57" s="54">
        <f>VLOOKUP(F13,Данные!$A$42:$R$65,17,FALSE)</f>
        <v>0</v>
      </c>
      <c r="H57" s="53" t="str">
        <f>IF(I57=0,"-",VLOOKUP(H13,Данные!$A$42:$R$65,18,FALSE))</f>
        <v>-</v>
      </c>
      <c r="I57" s="56">
        <f>VLOOKUP(H13,Данные!$A$42:$R$65,17,FALSE)</f>
        <v>0</v>
      </c>
      <c r="K57" s="110"/>
      <c r="R57" s="12"/>
      <c r="S57" s="6"/>
      <c r="T57" s="6"/>
      <c r="U57" s="6"/>
      <c r="V57" s="6"/>
      <c r="W57" s="6"/>
      <c r="X57" s="6"/>
      <c r="Y57" s="6"/>
      <c r="Z57" s="13"/>
      <c r="AA57" s="110"/>
      <c r="AB57" s="14"/>
      <c r="AC57" s="14"/>
      <c r="AD57" s="14"/>
    </row>
    <row r="58" spans="1:33" ht="16.5" customHeight="1" x14ac:dyDescent="0.2">
      <c r="A58" s="46" t="s">
        <v>12</v>
      </c>
      <c r="B58" s="53" t="str">
        <f>IF(C58=0,"-","5,5х19")</f>
        <v>-</v>
      </c>
      <c r="C58" s="54">
        <f>VLOOKUP(B13,Данные!$A$42:$R$65,13,FALSE)</f>
        <v>0</v>
      </c>
      <c r="D58" s="53" t="str">
        <f>IF(E58=0,"-","5,5х19")</f>
        <v>-</v>
      </c>
      <c r="E58" s="54">
        <f>VLOOKUP(D13,Данные!$A$42:$R$65,13,FALSE)</f>
        <v>0</v>
      </c>
      <c r="F58" s="53" t="str">
        <f>IF(G58=0,"-","5,5х19")</f>
        <v>-</v>
      </c>
      <c r="G58" s="54">
        <f>VLOOKUP(F13,Данные!$A$42:$R$65,13,FALSE)</f>
        <v>0</v>
      </c>
      <c r="H58" s="53" t="str">
        <f>IF(I58=0,"-","5,5х19")</f>
        <v>-</v>
      </c>
      <c r="I58" s="56">
        <f>VLOOKUP(H13,Данные!$A$42:$R$65,13,FALSE)</f>
        <v>0</v>
      </c>
      <c r="K58" s="11"/>
      <c r="R58" s="12"/>
      <c r="S58" s="6"/>
      <c r="T58" s="6"/>
      <c r="U58" s="6"/>
      <c r="V58" s="6"/>
      <c r="W58" s="6"/>
      <c r="X58" s="6"/>
      <c r="Y58" s="6"/>
      <c r="Z58" s="14"/>
      <c r="AA58" s="14"/>
      <c r="AB58" s="15"/>
      <c r="AC58" s="14"/>
      <c r="AD58" s="11"/>
      <c r="AE58" s="14"/>
      <c r="AF58" s="14"/>
      <c r="AG58" s="14"/>
    </row>
    <row r="59" spans="1:33" ht="16.5" customHeight="1" x14ac:dyDescent="0.2">
      <c r="A59" s="109" t="s">
        <v>46</v>
      </c>
      <c r="B59" s="53" t="s">
        <v>10</v>
      </c>
      <c r="C59" s="54">
        <f>VLOOKUP(B13,Данные!$A$42:$R$65,9,FALSE)</f>
        <v>0</v>
      </c>
      <c r="D59" s="53" t="s">
        <v>10</v>
      </c>
      <c r="E59" s="54">
        <f>VLOOKUP(D13,Данные!$A$42:$R$65,9,FALSE)</f>
        <v>0</v>
      </c>
      <c r="F59" s="53" t="s">
        <v>10</v>
      </c>
      <c r="G59" s="54">
        <f>VLOOKUP(F13,Данные!$A$42:$R$65,9,FALSE)</f>
        <v>0</v>
      </c>
      <c r="H59" s="53" t="s">
        <v>10</v>
      </c>
      <c r="I59" s="56">
        <f>VLOOKUP(H13,Данные!$A$42:$R$65,9,FALSE)</f>
        <v>0</v>
      </c>
      <c r="K59" s="11"/>
      <c r="R59" s="12"/>
      <c r="S59" s="6"/>
      <c r="T59" s="6"/>
      <c r="U59" s="6"/>
      <c r="V59" s="6"/>
      <c r="W59" s="6"/>
      <c r="X59" s="6"/>
      <c r="Y59" s="6"/>
      <c r="Z59" s="16"/>
      <c r="AA59" s="14"/>
      <c r="AB59" s="15"/>
      <c r="AC59" s="14"/>
      <c r="AD59" s="11"/>
      <c r="AE59" s="14"/>
      <c r="AF59" s="14"/>
      <c r="AG59" s="14"/>
    </row>
    <row r="60" spans="1:33" ht="16.5" customHeight="1" x14ac:dyDescent="0.2">
      <c r="A60" s="109" t="s">
        <v>48</v>
      </c>
      <c r="B60" s="53" t="s">
        <v>10</v>
      </c>
      <c r="C60" s="54">
        <f>VLOOKUP(B13,Данные!$A$42:$R$65,10,FALSE)</f>
        <v>0</v>
      </c>
      <c r="D60" s="53" t="s">
        <v>10</v>
      </c>
      <c r="E60" s="54">
        <f>VLOOKUP(D13,Данные!$A$42:$R$65,10,FALSE)</f>
        <v>0</v>
      </c>
      <c r="F60" s="53" t="s">
        <v>10</v>
      </c>
      <c r="G60" s="54">
        <f>VLOOKUP(F13,Данные!$A$42:$R$65,10,FALSE)</f>
        <v>0</v>
      </c>
      <c r="H60" s="53" t="s">
        <v>10</v>
      </c>
      <c r="I60" s="56">
        <f>VLOOKUP(H13,Данные!$A$42:$R$65,10,FALSE)</f>
        <v>0</v>
      </c>
      <c r="K60" s="11"/>
      <c r="R60" s="12"/>
      <c r="S60" s="6"/>
      <c r="T60" s="6"/>
      <c r="U60" s="6"/>
      <c r="V60" s="6"/>
      <c r="W60" s="6"/>
      <c r="X60" s="6"/>
      <c r="Y60" s="6"/>
      <c r="Z60" s="16"/>
      <c r="AA60" s="14"/>
      <c r="AB60" s="15"/>
      <c r="AC60" s="14"/>
      <c r="AD60" s="11"/>
      <c r="AE60" s="14"/>
      <c r="AF60" s="14"/>
      <c r="AG60" s="14"/>
    </row>
    <row r="61" spans="1:33" ht="16.5" customHeight="1" x14ac:dyDescent="0.2">
      <c r="A61" s="109" t="s">
        <v>199</v>
      </c>
      <c r="B61" s="53" t="s">
        <v>10</v>
      </c>
      <c r="C61" s="54">
        <f>VLOOKUP(B13,Данные!$A$42:$R$65,11,FALSE)</f>
        <v>0</v>
      </c>
      <c r="D61" s="53" t="s">
        <v>10</v>
      </c>
      <c r="E61" s="54">
        <f>VLOOKUP(D13,Данные!$A$42:$R$65,11,FALSE)</f>
        <v>0</v>
      </c>
      <c r="F61" s="53" t="s">
        <v>10</v>
      </c>
      <c r="G61" s="54">
        <f>VLOOKUP(F13,Данные!$A$42:$R$65,11,FALSE)</f>
        <v>0</v>
      </c>
      <c r="H61" s="53" t="s">
        <v>10</v>
      </c>
      <c r="I61" s="56">
        <f>VLOOKUP(H13,Данные!$A$42:$R$65,11,FALSE)</f>
        <v>0</v>
      </c>
      <c r="K61" s="11"/>
      <c r="R61" s="12"/>
      <c r="S61" s="6"/>
      <c r="T61" s="6"/>
      <c r="U61" s="6"/>
      <c r="V61" s="6"/>
      <c r="W61" s="6"/>
      <c r="X61" s="6"/>
      <c r="Y61" s="6"/>
      <c r="Z61" s="16"/>
      <c r="AA61" s="14"/>
      <c r="AB61" s="15"/>
      <c r="AC61" s="14"/>
      <c r="AD61" s="11"/>
      <c r="AE61" s="14"/>
      <c r="AF61" s="14"/>
      <c r="AG61" s="14"/>
    </row>
    <row r="62" spans="1:33" ht="16.5" customHeight="1" x14ac:dyDescent="0.2">
      <c r="A62" s="73" t="s">
        <v>221</v>
      </c>
      <c r="B62" s="78"/>
      <c r="C62" s="79"/>
      <c r="D62" s="82"/>
      <c r="E62" s="79"/>
      <c r="F62" s="82"/>
      <c r="G62" s="79"/>
      <c r="H62" s="82"/>
      <c r="I62" s="78"/>
      <c r="K62" s="11"/>
      <c r="R62" s="12"/>
      <c r="S62" s="6"/>
      <c r="T62" s="6"/>
      <c r="U62" s="6"/>
      <c r="V62" s="6"/>
      <c r="W62" s="6"/>
      <c r="X62" s="6"/>
      <c r="Y62" s="6"/>
      <c r="Z62" s="16"/>
      <c r="AA62" s="14"/>
      <c r="AB62" s="15"/>
      <c r="AC62" s="14"/>
      <c r="AD62" s="11"/>
      <c r="AE62" s="14"/>
      <c r="AF62" s="14"/>
      <c r="AG62" s="14"/>
    </row>
    <row r="63" spans="1:33" s="97" customFormat="1" ht="16.5" customHeight="1" x14ac:dyDescent="0.2">
      <c r="A63" s="109" t="s">
        <v>12</v>
      </c>
      <c r="B63" s="57" t="s">
        <v>179</v>
      </c>
      <c r="C63" s="54">
        <f>C28+C48+C58</f>
        <v>0</v>
      </c>
      <c r="D63" s="57" t="s">
        <v>179</v>
      </c>
      <c r="E63" s="54">
        <f>E28+E48+E58</f>
        <v>0</v>
      </c>
      <c r="F63" s="57" t="s">
        <v>179</v>
      </c>
      <c r="G63" s="54">
        <f>G28+G48+G58</f>
        <v>0</v>
      </c>
      <c r="H63" s="57" t="s">
        <v>179</v>
      </c>
      <c r="I63" s="56">
        <f>I28+I48+I58</f>
        <v>0</v>
      </c>
      <c r="K63" s="94"/>
      <c r="R63" s="98"/>
      <c r="S63" s="99"/>
      <c r="T63" s="99"/>
      <c r="U63" s="99"/>
      <c r="V63" s="99"/>
      <c r="W63" s="99"/>
      <c r="X63" s="99"/>
      <c r="Y63" s="99"/>
      <c r="Z63" s="100"/>
      <c r="AA63" s="101"/>
      <c r="AB63" s="102"/>
      <c r="AC63" s="101"/>
      <c r="AD63" s="94"/>
      <c r="AE63" s="101"/>
      <c r="AF63" s="101"/>
      <c r="AG63" s="101"/>
    </row>
    <row r="64" spans="1:33" s="97" customFormat="1" ht="16.5" customHeight="1" x14ac:dyDescent="0.2">
      <c r="A64" s="46" t="s">
        <v>13</v>
      </c>
      <c r="B64" s="57" t="s">
        <v>181</v>
      </c>
      <c r="C64" s="54">
        <f>C29</f>
        <v>0</v>
      </c>
      <c r="D64" s="57" t="s">
        <v>181</v>
      </c>
      <c r="E64" s="54">
        <f>E29</f>
        <v>0</v>
      </c>
      <c r="F64" s="57" t="s">
        <v>181</v>
      </c>
      <c r="G64" s="54">
        <f>G29</f>
        <v>0</v>
      </c>
      <c r="H64" s="57" t="s">
        <v>181</v>
      </c>
      <c r="I64" s="56">
        <f>I29</f>
        <v>0</v>
      </c>
      <c r="K64" s="94"/>
      <c r="R64" s="98"/>
      <c r="S64" s="99"/>
      <c r="T64" s="99"/>
      <c r="U64" s="99"/>
      <c r="V64" s="99"/>
      <c r="W64" s="99"/>
      <c r="X64" s="99"/>
      <c r="Y64" s="99"/>
      <c r="Z64" s="100"/>
      <c r="AA64" s="101"/>
      <c r="AB64" s="102"/>
      <c r="AC64" s="101"/>
      <c r="AD64" s="94"/>
      <c r="AE64" s="101"/>
      <c r="AF64" s="101"/>
      <c r="AG64" s="101"/>
    </row>
    <row r="65" spans="1:33" s="97" customFormat="1" ht="16.5" customHeight="1" x14ac:dyDescent="0.2">
      <c r="A65" s="46" t="s">
        <v>177</v>
      </c>
      <c r="B65" s="57" t="s">
        <v>180</v>
      </c>
      <c r="C65" s="54">
        <f>C30</f>
        <v>0</v>
      </c>
      <c r="D65" s="57" t="s">
        <v>180</v>
      </c>
      <c r="E65" s="54">
        <f>E30</f>
        <v>0</v>
      </c>
      <c r="F65" s="57" t="s">
        <v>180</v>
      </c>
      <c r="G65" s="54">
        <f>G30</f>
        <v>0</v>
      </c>
      <c r="H65" s="57" t="s">
        <v>180</v>
      </c>
      <c r="I65" s="56">
        <f>I30</f>
        <v>0</v>
      </c>
      <c r="K65" s="94"/>
      <c r="R65" s="98"/>
      <c r="S65" s="99"/>
      <c r="T65" s="99"/>
      <c r="U65" s="99"/>
      <c r="V65" s="99"/>
      <c r="W65" s="99"/>
      <c r="X65" s="99"/>
      <c r="Y65" s="99"/>
      <c r="Z65" s="100"/>
      <c r="AA65" s="101"/>
      <c r="AB65" s="102"/>
      <c r="AC65" s="101"/>
      <c r="AD65" s="94"/>
      <c r="AE65" s="101"/>
      <c r="AF65" s="101"/>
      <c r="AG65" s="101"/>
    </row>
    <row r="66" spans="1:33" s="97" customFormat="1" ht="16.5" customHeight="1" x14ac:dyDescent="0.2">
      <c r="A66" s="46" t="s">
        <v>52</v>
      </c>
      <c r="B66" s="57"/>
      <c r="C66" s="54">
        <f>C31</f>
        <v>0</v>
      </c>
      <c r="D66" s="57"/>
      <c r="E66" s="54">
        <f>E31</f>
        <v>0</v>
      </c>
      <c r="F66" s="57"/>
      <c r="G66" s="54">
        <f>G31</f>
        <v>0</v>
      </c>
      <c r="H66" s="57"/>
      <c r="I66" s="56">
        <f>I31</f>
        <v>0</v>
      </c>
      <c r="K66" s="94"/>
      <c r="R66" s="98"/>
      <c r="S66" s="99"/>
      <c r="T66" s="99"/>
      <c r="U66" s="99"/>
      <c r="V66" s="99"/>
      <c r="W66" s="99"/>
      <c r="X66" s="99"/>
      <c r="Y66" s="99"/>
      <c r="Z66" s="100"/>
      <c r="AA66" s="101"/>
      <c r="AB66" s="102"/>
      <c r="AC66" s="101"/>
      <c r="AD66" s="94"/>
      <c r="AE66" s="101"/>
      <c r="AF66" s="101"/>
      <c r="AG66" s="101"/>
    </row>
    <row r="67" spans="1:33" ht="16.5" customHeight="1" x14ac:dyDescent="0.2">
      <c r="A67" s="21"/>
      <c r="B67" s="87"/>
      <c r="C67" s="88"/>
      <c r="D67" s="87"/>
      <c r="E67" s="88"/>
      <c r="F67" s="87"/>
      <c r="G67" s="88"/>
      <c r="H67" s="87"/>
      <c r="I67" s="88"/>
      <c r="K67" s="11"/>
      <c r="R67" s="12"/>
      <c r="S67" s="6"/>
      <c r="T67" s="6"/>
      <c r="U67" s="6"/>
      <c r="V67" s="6"/>
      <c r="W67" s="6"/>
      <c r="X67" s="6"/>
      <c r="Y67" s="6"/>
      <c r="Z67" s="16"/>
      <c r="AA67" s="14"/>
      <c r="AB67" s="15"/>
      <c r="AC67" s="14"/>
      <c r="AD67" s="11"/>
      <c r="AE67" s="14"/>
      <c r="AF67" s="14"/>
      <c r="AG67" s="14"/>
    </row>
    <row r="68" spans="1:33" ht="12.75" customHeight="1" x14ac:dyDescent="0.2">
      <c r="A68" s="42"/>
      <c r="B68" s="41"/>
      <c r="C68" s="11"/>
      <c r="D68" s="11"/>
      <c r="E68" s="11"/>
      <c r="F68" s="11"/>
      <c r="G68" s="11"/>
      <c r="H68" s="11"/>
      <c r="I68" s="11"/>
      <c r="J68" s="42"/>
      <c r="K68" s="11"/>
    </row>
    <row r="69" spans="1:33" ht="19.5" customHeight="1" x14ac:dyDescent="0.2">
      <c r="A69" s="179" t="s">
        <v>131</v>
      </c>
      <c r="B69" s="179"/>
      <c r="C69" s="179"/>
      <c r="D69" s="179"/>
      <c r="E69" s="179"/>
      <c r="F69" s="179"/>
      <c r="G69" s="179"/>
      <c r="H69" s="179"/>
      <c r="I69" s="179"/>
      <c r="J69" s="42"/>
      <c r="K69" s="11"/>
    </row>
    <row r="70" spans="1:33" ht="27" customHeight="1" x14ac:dyDescent="0.2">
      <c r="A70" s="159" t="s">
        <v>223</v>
      </c>
      <c r="B70" s="160"/>
      <c r="C70" s="160"/>
      <c r="D70" s="160"/>
      <c r="E70" s="160"/>
      <c r="F70" s="160"/>
      <c r="G70" s="160"/>
      <c r="H70" s="160"/>
      <c r="I70" s="161"/>
      <c r="J70" s="12"/>
    </row>
    <row r="71" spans="1:33" ht="27" customHeight="1" x14ac:dyDescent="0.2">
      <c r="A71" s="159" t="s">
        <v>224</v>
      </c>
      <c r="B71" s="160"/>
      <c r="C71" s="160"/>
      <c r="D71" s="160"/>
      <c r="E71" s="160"/>
      <c r="F71" s="160"/>
      <c r="G71" s="160"/>
      <c r="H71" s="160"/>
      <c r="I71" s="161"/>
      <c r="J71" s="12"/>
    </row>
    <row r="72" spans="1:33" ht="27" customHeight="1" x14ac:dyDescent="0.2">
      <c r="A72" s="156" t="s">
        <v>50</v>
      </c>
      <c r="B72" s="157"/>
      <c r="C72" s="157"/>
      <c r="D72" s="157"/>
      <c r="E72" s="157"/>
      <c r="F72" s="157"/>
      <c r="G72" s="157"/>
      <c r="H72" s="157"/>
      <c r="I72" s="158"/>
      <c r="J72" s="17"/>
      <c r="K72" s="17"/>
    </row>
    <row r="73" spans="1:33" ht="27" customHeight="1" x14ac:dyDescent="0.2">
      <c r="A73" s="156" t="s">
        <v>132</v>
      </c>
      <c r="B73" s="157"/>
      <c r="C73" s="157"/>
      <c r="D73" s="157"/>
      <c r="E73" s="157"/>
      <c r="F73" s="157"/>
      <c r="G73" s="157"/>
      <c r="H73" s="157"/>
      <c r="I73" s="158"/>
      <c r="J73" s="18"/>
      <c r="K73" s="18"/>
    </row>
    <row r="74" spans="1:33" ht="27" customHeight="1" x14ac:dyDescent="0.2">
      <c r="A74" s="156" t="s">
        <v>51</v>
      </c>
      <c r="B74" s="157"/>
      <c r="C74" s="157"/>
      <c r="D74" s="157"/>
      <c r="E74" s="157"/>
      <c r="F74" s="157"/>
      <c r="G74" s="157"/>
      <c r="H74" s="157"/>
      <c r="I74" s="158"/>
      <c r="J74" s="43"/>
      <c r="K74" s="37"/>
      <c r="L74" s="19"/>
      <c r="M74" s="19"/>
    </row>
    <row r="75" spans="1:33" ht="27" customHeight="1" x14ac:dyDescent="0.2">
      <c r="A75" s="156" t="s">
        <v>222</v>
      </c>
      <c r="B75" s="157"/>
      <c r="C75" s="157"/>
      <c r="D75" s="157"/>
      <c r="E75" s="157"/>
      <c r="F75" s="157"/>
      <c r="G75" s="157"/>
      <c r="H75" s="157"/>
      <c r="I75" s="158"/>
      <c r="J75" s="43"/>
      <c r="K75" s="37"/>
      <c r="L75" s="19"/>
      <c r="M75" s="19"/>
    </row>
    <row r="76" spans="1:33" ht="27" customHeight="1" x14ac:dyDescent="0.2">
      <c r="A76" s="156" t="s">
        <v>133</v>
      </c>
      <c r="B76" s="157"/>
      <c r="C76" s="157"/>
      <c r="D76" s="157"/>
      <c r="E76" s="157"/>
      <c r="F76" s="157"/>
      <c r="G76" s="157"/>
      <c r="H76" s="157"/>
      <c r="I76" s="158"/>
      <c r="J76" s="43"/>
      <c r="K76" s="37"/>
    </row>
    <row r="77" spans="1:33" ht="272.25" customHeight="1" x14ac:dyDescent="0.2">
      <c r="A77" s="166" t="s">
        <v>53</v>
      </c>
      <c r="B77" s="167"/>
      <c r="C77" s="167"/>
      <c r="D77" s="167"/>
      <c r="E77" s="167"/>
      <c r="F77" s="167"/>
      <c r="G77" s="167"/>
      <c r="H77" s="167"/>
      <c r="I77" s="168"/>
      <c r="J77" s="43"/>
      <c r="K77" s="37"/>
      <c r="L77" s="19"/>
      <c r="M77" s="19"/>
    </row>
    <row r="78" spans="1:33" ht="15" customHeight="1" x14ac:dyDescent="0.2">
      <c r="A78" s="128"/>
      <c r="B78" s="128"/>
      <c r="C78" s="128"/>
      <c r="D78" s="128"/>
      <c r="E78" s="128"/>
      <c r="F78" s="128"/>
      <c r="G78" s="128"/>
      <c r="H78" s="128"/>
      <c r="I78" s="128"/>
      <c r="J78" s="43"/>
      <c r="K78" s="37"/>
    </row>
    <row r="79" spans="1:33" ht="12.75" hidden="1" customHeight="1" x14ac:dyDescent="0.2">
      <c r="A79" s="128"/>
      <c r="B79" s="128"/>
      <c r="C79" s="128"/>
      <c r="D79" s="128"/>
      <c r="E79" s="128"/>
      <c r="F79" s="128"/>
      <c r="G79" s="128"/>
      <c r="H79" s="128"/>
      <c r="I79" s="128"/>
      <c r="J79" s="43"/>
      <c r="K79" s="37"/>
      <c r="L79" s="19"/>
      <c r="M79" s="19"/>
    </row>
    <row r="80" spans="1:33" ht="12.75" hidden="1" customHeight="1" x14ac:dyDescent="0.2">
      <c r="A80" s="128"/>
      <c r="B80" s="128"/>
      <c r="C80" s="128"/>
      <c r="D80" s="128"/>
      <c r="E80" s="128"/>
      <c r="F80" s="128"/>
      <c r="G80" s="128"/>
      <c r="H80" s="128"/>
      <c r="I80" s="128"/>
      <c r="J80" s="43"/>
      <c r="K80" s="37"/>
    </row>
    <row r="81" spans="1:13" ht="15" hidden="1" customHeight="1" x14ac:dyDescent="0.2">
      <c r="A81" s="128"/>
      <c r="B81" s="128"/>
      <c r="C81" s="128"/>
      <c r="D81" s="128"/>
      <c r="E81" s="128"/>
      <c r="F81" s="128"/>
      <c r="G81" s="128"/>
      <c r="H81" s="128"/>
      <c r="I81" s="128"/>
      <c r="J81" s="43"/>
      <c r="K81" s="37"/>
      <c r="L81" s="19"/>
      <c r="M81" s="19"/>
    </row>
    <row r="82" spans="1:13" ht="12.75" hidden="1" customHeight="1" x14ac:dyDescent="0.2">
      <c r="A82" s="128"/>
      <c r="B82" s="128"/>
      <c r="C82" s="128"/>
      <c r="D82" s="128"/>
      <c r="E82" s="128"/>
      <c r="F82" s="128"/>
      <c r="G82" s="128"/>
      <c r="H82" s="128"/>
      <c r="I82" s="128"/>
      <c r="J82" s="43"/>
      <c r="K82" s="37"/>
    </row>
    <row r="83" spans="1:13" ht="12.75" hidden="1" customHeight="1" x14ac:dyDescent="0.2">
      <c r="A83" s="128"/>
      <c r="B83" s="128"/>
      <c r="C83" s="128"/>
      <c r="D83" s="128"/>
      <c r="E83" s="128"/>
      <c r="F83" s="128"/>
      <c r="G83" s="128"/>
      <c r="H83" s="128"/>
      <c r="I83" s="128"/>
      <c r="J83" s="43"/>
      <c r="K83" s="37"/>
    </row>
    <row r="84" spans="1:13" ht="12.75" hidden="1" customHeight="1" x14ac:dyDescent="0.2">
      <c r="A84" s="128"/>
      <c r="B84" s="128"/>
      <c r="C84" s="128"/>
      <c r="D84" s="128"/>
      <c r="E84" s="128"/>
      <c r="F84" s="128"/>
      <c r="G84" s="128"/>
      <c r="H84" s="128"/>
      <c r="I84" s="128"/>
      <c r="J84" s="43"/>
      <c r="K84" s="37"/>
    </row>
    <row r="85" spans="1:13" ht="12.75" hidden="1" customHeight="1" x14ac:dyDescent="0.2">
      <c r="A85" s="127"/>
      <c r="B85" s="127"/>
      <c r="C85" s="127"/>
      <c r="D85" s="127"/>
      <c r="E85" s="127"/>
      <c r="F85" s="127"/>
      <c r="G85" s="127"/>
      <c r="H85" s="127"/>
      <c r="I85" s="127"/>
      <c r="J85" s="43"/>
      <c r="K85" s="37"/>
      <c r="L85" s="19"/>
      <c r="M85" s="19"/>
    </row>
    <row r="86" spans="1:13" ht="12.75" hidden="1" customHeight="1" x14ac:dyDescent="0.2">
      <c r="A86" s="128"/>
      <c r="B86" s="128"/>
      <c r="C86" s="128"/>
      <c r="D86" s="128"/>
      <c r="E86" s="128"/>
      <c r="F86" s="128"/>
      <c r="G86" s="128"/>
      <c r="H86" s="128"/>
      <c r="I86" s="128"/>
      <c r="J86" s="43"/>
      <c r="K86" s="37"/>
    </row>
    <row r="87" spans="1:13" ht="12.75" hidden="1" customHeight="1" x14ac:dyDescent="0.2">
      <c r="A87" s="128"/>
      <c r="B87" s="128"/>
      <c r="C87" s="128"/>
      <c r="D87" s="128"/>
      <c r="E87" s="128"/>
      <c r="F87" s="128"/>
      <c r="G87" s="128"/>
      <c r="H87" s="128"/>
      <c r="I87" s="128"/>
      <c r="J87" s="43"/>
      <c r="K87" s="37"/>
      <c r="L87" s="19"/>
      <c r="M87" s="19"/>
    </row>
    <row r="88" spans="1:13" ht="12.75" hidden="1" customHeight="1" x14ac:dyDescent="0.2">
      <c r="A88" s="129"/>
      <c r="B88" s="129"/>
      <c r="C88" s="129"/>
      <c r="D88" s="129"/>
      <c r="E88" s="129"/>
      <c r="F88" s="129"/>
      <c r="G88" s="129"/>
      <c r="H88" s="129"/>
      <c r="I88" s="129"/>
      <c r="J88" s="43"/>
      <c r="K88" s="37"/>
      <c r="L88" s="19"/>
      <c r="M88" s="19"/>
    </row>
    <row r="89" spans="1:13" hidden="1" x14ac:dyDescent="0.2">
      <c r="A89" s="129"/>
      <c r="B89" s="129"/>
      <c r="C89" s="129"/>
      <c r="D89" s="129"/>
      <c r="E89" s="129"/>
      <c r="F89" s="129"/>
      <c r="G89" s="129"/>
      <c r="H89" s="129"/>
      <c r="I89" s="129"/>
      <c r="J89" s="43"/>
      <c r="K89" s="37"/>
    </row>
    <row r="90" spans="1:13" hidden="1" x14ac:dyDescent="0.2">
      <c r="A90" s="129"/>
      <c r="B90" s="129"/>
      <c r="C90" s="129"/>
      <c r="D90" s="129"/>
      <c r="E90" s="129"/>
      <c r="F90" s="129"/>
      <c r="G90" s="129"/>
      <c r="H90" s="129"/>
      <c r="I90" s="129"/>
      <c r="J90" s="43"/>
      <c r="K90" s="37"/>
    </row>
    <row r="91" spans="1:13" hidden="1" x14ac:dyDescent="0.2">
      <c r="A91" s="129"/>
      <c r="B91" s="129"/>
      <c r="C91" s="129"/>
      <c r="D91" s="129"/>
      <c r="E91" s="129"/>
      <c r="F91" s="129"/>
      <c r="G91" s="129"/>
      <c r="H91" s="129"/>
      <c r="I91" s="129"/>
      <c r="J91" s="43"/>
      <c r="K91" s="37"/>
    </row>
    <row r="92" spans="1:13" hidden="1" x14ac:dyDescent="0.2">
      <c r="A92" s="129"/>
      <c r="B92" s="129"/>
      <c r="C92" s="129"/>
      <c r="D92" s="129"/>
      <c r="E92" s="129"/>
      <c r="F92" s="129"/>
      <c r="G92" s="129"/>
      <c r="H92" s="129"/>
      <c r="I92" s="129"/>
      <c r="J92" s="43"/>
      <c r="K92" s="37"/>
    </row>
    <row r="93" spans="1:13" ht="12.75" hidden="1" customHeight="1" x14ac:dyDescent="0.2">
      <c r="A93" s="129"/>
      <c r="B93" s="129"/>
      <c r="C93" s="129"/>
      <c r="D93" s="129"/>
      <c r="E93" s="129"/>
      <c r="F93" s="129"/>
      <c r="G93" s="129"/>
      <c r="H93" s="129"/>
      <c r="I93" s="129"/>
      <c r="J93" s="44"/>
      <c r="K93" s="11"/>
    </row>
    <row r="94" spans="1:13" hidden="1" x14ac:dyDescent="0.2">
      <c r="A94" s="129"/>
      <c r="B94" s="129"/>
      <c r="C94" s="129"/>
      <c r="D94" s="129"/>
      <c r="E94" s="129"/>
      <c r="F94" s="129"/>
      <c r="G94" s="129"/>
      <c r="H94" s="129"/>
      <c r="I94" s="129"/>
      <c r="J94" s="45"/>
      <c r="K94" s="11"/>
    </row>
    <row r="95" spans="1:13" ht="15" hidden="1" customHeight="1" x14ac:dyDescent="0.2">
      <c r="A95" s="129"/>
      <c r="B95" s="129"/>
      <c r="C95" s="129"/>
      <c r="D95" s="129"/>
      <c r="E95" s="129"/>
      <c r="F95" s="129"/>
      <c r="G95" s="129"/>
      <c r="H95" s="129"/>
      <c r="I95" s="129"/>
      <c r="J95" s="45"/>
      <c r="K95" s="11"/>
    </row>
    <row r="96" spans="1:13" ht="12.75" hidden="1" customHeight="1" x14ac:dyDescent="0.2">
      <c r="A96" s="129"/>
      <c r="B96" s="129"/>
      <c r="C96" s="129"/>
      <c r="D96" s="129"/>
      <c r="E96" s="129"/>
      <c r="F96" s="129"/>
      <c r="G96" s="129"/>
      <c r="H96" s="129"/>
      <c r="I96" s="129"/>
      <c r="J96" s="45"/>
    </row>
    <row r="97" spans="1:11" ht="12.75" hidden="1" customHeight="1" x14ac:dyDescent="0.2">
      <c r="A97" s="129"/>
      <c r="B97" s="129"/>
      <c r="C97" s="129"/>
      <c r="D97" s="129"/>
      <c r="E97" s="129"/>
      <c r="F97" s="129"/>
      <c r="G97" s="129"/>
      <c r="H97" s="129"/>
      <c r="I97" s="129"/>
      <c r="J97" s="45"/>
    </row>
    <row r="98" spans="1:11" hidden="1" x14ac:dyDescent="0.2">
      <c r="A98" s="129"/>
      <c r="B98" s="129"/>
      <c r="C98" s="129"/>
      <c r="D98" s="129"/>
      <c r="E98" s="129"/>
      <c r="F98" s="129"/>
      <c r="G98" s="129"/>
      <c r="H98" s="129"/>
      <c r="I98" s="129"/>
      <c r="J98" s="45"/>
    </row>
    <row r="99" spans="1:11" ht="18" hidden="1" customHeight="1" x14ac:dyDescent="0.2">
      <c r="A99" s="129"/>
      <c r="B99" s="129"/>
      <c r="C99" s="129"/>
      <c r="D99" s="129"/>
      <c r="E99" s="129"/>
      <c r="F99" s="129"/>
      <c r="G99" s="129"/>
      <c r="H99" s="129"/>
      <c r="I99" s="129"/>
      <c r="J99" s="12"/>
      <c r="K99" s="10"/>
    </row>
    <row r="100" spans="1:11" ht="12.75" hidden="1" customHeight="1" x14ac:dyDescent="0.2">
      <c r="A100" s="129"/>
      <c r="B100" s="129"/>
      <c r="C100" s="129"/>
      <c r="D100" s="129"/>
      <c r="E100" s="129"/>
      <c r="F100" s="129"/>
      <c r="G100" s="129"/>
      <c r="H100" s="129"/>
      <c r="I100" s="129"/>
      <c r="J100" s="12"/>
      <c r="K100" s="22"/>
    </row>
    <row r="101" spans="1:11" ht="12.75" hidden="1" customHeight="1" x14ac:dyDescent="0.2">
      <c r="A101" s="129"/>
      <c r="B101" s="129"/>
      <c r="C101" s="129"/>
      <c r="D101" s="129"/>
      <c r="E101" s="129"/>
      <c r="F101" s="129"/>
      <c r="G101" s="129"/>
      <c r="H101" s="129"/>
      <c r="I101" s="129"/>
      <c r="J101" s="12"/>
      <c r="K101" s="22"/>
    </row>
    <row r="102" spans="1:11" ht="12.75" hidden="1" customHeight="1" x14ac:dyDescent="0.2">
      <c r="A102" s="129"/>
      <c r="B102" s="129"/>
      <c r="C102" s="129"/>
      <c r="D102" s="129"/>
      <c r="E102" s="129"/>
      <c r="F102" s="129"/>
      <c r="G102" s="129"/>
      <c r="H102" s="129"/>
      <c r="I102" s="129"/>
      <c r="J102" s="12"/>
      <c r="K102" s="22"/>
    </row>
    <row r="103" spans="1:11" ht="12.75" hidden="1" customHeight="1" x14ac:dyDescent="0.2">
      <c r="A103" s="129"/>
      <c r="B103" s="129"/>
      <c r="C103" s="129"/>
      <c r="D103" s="129"/>
      <c r="E103" s="129"/>
      <c r="F103" s="129"/>
      <c r="G103" s="129"/>
      <c r="H103" s="129"/>
      <c r="I103" s="129"/>
      <c r="J103" s="12"/>
      <c r="K103" s="22"/>
    </row>
    <row r="104" spans="1:11" ht="12.75" hidden="1" customHeight="1" x14ac:dyDescent="0.2">
      <c r="A104" s="129"/>
      <c r="B104" s="129"/>
      <c r="C104" s="129"/>
      <c r="D104" s="129"/>
      <c r="E104" s="129"/>
      <c r="F104" s="129"/>
      <c r="G104" s="129"/>
      <c r="H104" s="129"/>
      <c r="I104" s="129"/>
      <c r="J104" s="12"/>
      <c r="K104" s="8"/>
    </row>
    <row r="105" spans="1:11" ht="11.25" hidden="1" customHeight="1" x14ac:dyDescent="0.2">
      <c r="A105" s="129"/>
      <c r="B105" s="129"/>
      <c r="C105" s="129"/>
      <c r="D105" s="129"/>
      <c r="E105" s="129"/>
      <c r="F105" s="129"/>
      <c r="G105" s="129"/>
      <c r="H105" s="129"/>
      <c r="I105" s="129"/>
      <c r="J105" s="12"/>
    </row>
    <row r="106" spans="1:11" ht="12.75" hidden="1" customHeight="1" x14ac:dyDescent="0.2">
      <c r="A106" s="129"/>
      <c r="B106" s="129"/>
      <c r="C106" s="129"/>
      <c r="D106" s="129"/>
      <c r="E106" s="129"/>
      <c r="F106" s="129"/>
      <c r="G106" s="129"/>
      <c r="H106" s="129"/>
      <c r="I106" s="129"/>
    </row>
    <row r="107" spans="1:11" ht="12.75" hidden="1" customHeight="1" x14ac:dyDescent="0.2">
      <c r="A107" s="129"/>
      <c r="B107" s="129"/>
      <c r="C107" s="129"/>
      <c r="D107" s="129"/>
      <c r="E107" s="129"/>
      <c r="F107" s="129"/>
      <c r="G107" s="129"/>
      <c r="H107" s="129"/>
      <c r="I107" s="129"/>
      <c r="K107" s="25"/>
    </row>
    <row r="108" spans="1:11" ht="12.75" hidden="1" customHeight="1" x14ac:dyDescent="0.2">
      <c r="K108" s="26"/>
    </row>
    <row r="109" spans="1:11" ht="12.75" hidden="1" customHeight="1" x14ac:dyDescent="0.2">
      <c r="A109" s="20"/>
      <c r="B109" s="20"/>
      <c r="C109" s="20"/>
      <c r="D109" s="20"/>
      <c r="E109" s="20"/>
      <c r="F109" s="20"/>
      <c r="G109" s="20"/>
      <c r="H109" s="20"/>
    </row>
    <row r="110" spans="1:11" hidden="1" x14ac:dyDescent="0.2">
      <c r="A110" s="20"/>
      <c r="B110" s="20"/>
      <c r="C110" s="20"/>
      <c r="D110" s="20"/>
      <c r="E110" s="20"/>
      <c r="F110" s="20"/>
      <c r="G110" s="20"/>
      <c r="H110" s="20"/>
    </row>
    <row r="111" spans="1:11" hidden="1" x14ac:dyDescent="0.2">
      <c r="A111" s="20"/>
      <c r="B111" s="20"/>
      <c r="C111" s="20"/>
      <c r="D111" s="20"/>
      <c r="E111" s="20"/>
      <c r="F111" s="20"/>
      <c r="G111" s="20"/>
      <c r="H111" s="20"/>
    </row>
    <row r="112" spans="1:11" hidden="1" x14ac:dyDescent="0.2">
      <c r="A112" s="20"/>
      <c r="B112" s="20"/>
      <c r="C112" s="20"/>
      <c r="D112" s="20"/>
      <c r="E112" s="20"/>
      <c r="F112" s="20"/>
      <c r="G112" s="20"/>
      <c r="H112" s="20"/>
    </row>
    <row r="113" spans="1:8" ht="12.75" hidden="1" customHeight="1" x14ac:dyDescent="0.2">
      <c r="A113" s="20"/>
      <c r="B113" s="20"/>
      <c r="C113" s="20"/>
      <c r="D113" s="20"/>
      <c r="E113" s="20"/>
      <c r="F113" s="20"/>
      <c r="G113" s="20"/>
      <c r="H113" s="20"/>
    </row>
    <row r="114" spans="1:8" ht="12.75" hidden="1" customHeight="1" x14ac:dyDescent="0.2">
      <c r="A114" s="20"/>
      <c r="B114" s="20"/>
      <c r="C114" s="20"/>
      <c r="D114" s="20"/>
      <c r="E114" s="20"/>
      <c r="F114" s="20"/>
      <c r="G114" s="20"/>
      <c r="H114" s="20"/>
    </row>
    <row r="115" spans="1:8" ht="12.75" hidden="1" customHeight="1" x14ac:dyDescent="0.2">
      <c r="A115" s="20"/>
      <c r="B115" s="20"/>
      <c r="C115" s="20"/>
      <c r="D115" s="20"/>
      <c r="E115" s="20"/>
      <c r="F115" s="20"/>
      <c r="G115" s="20"/>
      <c r="H115" s="20"/>
    </row>
    <row r="116" spans="1:8" ht="12.75" hidden="1" customHeight="1" x14ac:dyDescent="0.2">
      <c r="A116" s="20"/>
      <c r="B116" s="20"/>
      <c r="C116" s="20"/>
      <c r="D116" s="20"/>
      <c r="E116" s="20"/>
      <c r="F116" s="20"/>
      <c r="G116" s="20"/>
      <c r="H116" s="20"/>
    </row>
    <row r="117" spans="1:8" ht="12.75" hidden="1" customHeight="1" x14ac:dyDescent="0.2">
      <c r="A117" s="20"/>
      <c r="B117" s="20"/>
      <c r="C117" s="20"/>
      <c r="D117" s="20"/>
      <c r="E117" s="20"/>
      <c r="F117" s="20"/>
      <c r="G117" s="20"/>
      <c r="H117" s="20"/>
    </row>
    <row r="118" spans="1:8" ht="12.75" hidden="1" customHeight="1" x14ac:dyDescent="0.2">
      <c r="A118" s="21"/>
      <c r="B118" s="21"/>
      <c r="C118" s="21"/>
      <c r="D118" s="21"/>
      <c r="E118" s="21"/>
      <c r="F118" s="21"/>
      <c r="G118" s="21"/>
      <c r="H118" s="21"/>
    </row>
    <row r="119" spans="1:8" ht="12.75" hidden="1" customHeight="1" x14ac:dyDescent="0.2">
      <c r="A119" s="21"/>
      <c r="B119" s="21"/>
      <c r="C119" s="21"/>
      <c r="D119" s="21"/>
      <c r="E119" s="21"/>
      <c r="F119" s="21"/>
      <c r="G119" s="21"/>
      <c r="H119" s="21"/>
    </row>
    <row r="120" spans="1:8" ht="12.75" hidden="1" customHeight="1" x14ac:dyDescent="0.2">
      <c r="A120" s="21"/>
      <c r="B120" s="21"/>
      <c r="C120" s="21"/>
      <c r="D120" s="21"/>
      <c r="E120" s="21"/>
      <c r="F120" s="21"/>
      <c r="G120" s="21"/>
      <c r="H120" s="21"/>
    </row>
    <row r="121" spans="1:8" ht="12.75" hidden="1" customHeight="1" x14ac:dyDescent="0.2">
      <c r="A121" s="21"/>
      <c r="B121" s="21"/>
      <c r="C121" s="21"/>
      <c r="D121" s="21"/>
      <c r="E121" s="21"/>
      <c r="F121" s="21"/>
      <c r="G121" s="21"/>
      <c r="H121" s="21"/>
    </row>
    <row r="122" spans="1:8" ht="12.75" hidden="1" customHeight="1" x14ac:dyDescent="0.2">
      <c r="H122" s="12"/>
    </row>
    <row r="123" spans="1:8" ht="12.75" hidden="1" customHeight="1" x14ac:dyDescent="0.2">
      <c r="H123" s="12"/>
    </row>
    <row r="124" spans="1:8" hidden="1" x14ac:dyDescent="0.2">
      <c r="H124" s="12"/>
    </row>
    <row r="125" spans="1:8" hidden="1" x14ac:dyDescent="0.2">
      <c r="A125" s="5"/>
      <c r="B125" s="5"/>
      <c r="H125" s="12"/>
    </row>
    <row r="126" spans="1:8" hidden="1" x14ac:dyDescent="0.2">
      <c r="A126" s="5"/>
      <c r="B126" s="47"/>
      <c r="H126" s="12"/>
    </row>
    <row r="127" spans="1:8" hidden="1" x14ac:dyDescent="0.2">
      <c r="A127" s="5"/>
      <c r="B127" s="47"/>
      <c r="H127" s="12"/>
    </row>
    <row r="128" spans="1:8" hidden="1" x14ac:dyDescent="0.2">
      <c r="A128" s="44"/>
      <c r="B128" s="47"/>
      <c r="H128" s="12"/>
    </row>
    <row r="129" spans="1:11" hidden="1" x14ac:dyDescent="0.2">
      <c r="A129" s="44"/>
      <c r="B129" s="47"/>
      <c r="H129" s="12"/>
    </row>
    <row r="130" spans="1:11" hidden="1" x14ac:dyDescent="0.2">
      <c r="H130" s="12"/>
    </row>
    <row r="131" spans="1:11" hidden="1" x14ac:dyDescent="0.2">
      <c r="A131" s="28"/>
      <c r="H131" s="12"/>
    </row>
    <row r="132" spans="1:11" hidden="1" x14ac:dyDescent="0.2">
      <c r="A132" s="28"/>
      <c r="H132" s="12"/>
    </row>
    <row r="133" spans="1:11" hidden="1" x14ac:dyDescent="0.2">
      <c r="A133" s="28"/>
      <c r="H133" s="12"/>
    </row>
    <row r="134" spans="1:11" hidden="1" x14ac:dyDescent="0.2">
      <c r="A134" s="28"/>
      <c r="H134" s="12"/>
    </row>
    <row r="135" spans="1:11" hidden="1" x14ac:dyDescent="0.2">
      <c r="A135" s="28"/>
      <c r="H135" s="12"/>
    </row>
    <row r="136" spans="1:11" hidden="1" x14ac:dyDescent="0.2">
      <c r="A136" s="28"/>
      <c r="H136" s="12"/>
    </row>
    <row r="137" spans="1:11" hidden="1" x14ac:dyDescent="0.2">
      <c r="A137" s="28"/>
      <c r="H137" s="12"/>
    </row>
    <row r="138" spans="1:11" s="3" customFormat="1" hidden="1" x14ac:dyDescent="0.2">
      <c r="C138" s="29"/>
      <c r="D138" s="29"/>
      <c r="E138" s="29"/>
      <c r="F138" s="29"/>
      <c r="G138" s="29"/>
      <c r="H138" s="32"/>
      <c r="I138" s="29"/>
      <c r="J138" s="29"/>
      <c r="K138" s="29"/>
    </row>
    <row r="139" spans="1:11" s="3" customFormat="1" hidden="1" x14ac:dyDescent="0.2">
      <c r="A139" s="31"/>
      <c r="B139" s="153"/>
      <c r="C139" s="153"/>
      <c r="D139" s="29"/>
      <c r="E139" s="29"/>
      <c r="F139" s="29"/>
      <c r="G139" s="29"/>
      <c r="H139" s="32"/>
      <c r="I139" s="29"/>
      <c r="J139" s="29"/>
      <c r="K139" s="29"/>
    </row>
    <row r="140" spans="1:11" hidden="1" x14ac:dyDescent="0.2">
      <c r="A140" s="29"/>
      <c r="B140" s="29"/>
      <c r="C140" s="29"/>
    </row>
    <row r="141" spans="1:11" s="3" customFormat="1" hidden="1" x14ac:dyDescent="0.2">
      <c r="A141" s="30"/>
      <c r="B141" s="30"/>
      <c r="C141" s="30"/>
      <c r="D141" s="29"/>
      <c r="E141" s="29"/>
      <c r="F141" s="29"/>
      <c r="G141" s="29"/>
      <c r="H141" s="32"/>
      <c r="I141" s="29"/>
      <c r="J141" s="29"/>
      <c r="K141" s="29"/>
    </row>
    <row r="142" spans="1:11" s="3" customFormat="1" hidden="1" x14ac:dyDescent="0.2">
      <c r="A142" s="31"/>
      <c r="B142" s="30"/>
      <c r="C142" s="30"/>
      <c r="D142" s="29"/>
      <c r="E142" s="29"/>
      <c r="F142" s="29"/>
      <c r="G142" s="29"/>
      <c r="H142" s="32"/>
      <c r="I142" s="29"/>
      <c r="J142" s="29"/>
      <c r="K142" s="29"/>
    </row>
    <row r="143" spans="1:11" s="3" customFormat="1" hidden="1" x14ac:dyDescent="0.2">
      <c r="A143" s="31"/>
      <c r="B143" s="30"/>
      <c r="C143" s="30"/>
      <c r="D143" s="29"/>
      <c r="E143" s="29"/>
      <c r="F143" s="29"/>
      <c r="G143" s="29"/>
      <c r="H143" s="29"/>
      <c r="I143" s="29"/>
      <c r="J143" s="29"/>
      <c r="K143" s="29"/>
    </row>
    <row r="144" spans="1:11" s="3" customFormat="1" hidden="1" x14ac:dyDescent="0.2">
      <c r="A144" s="31"/>
      <c r="B144" s="30"/>
      <c r="C144" s="30"/>
      <c r="D144" s="29"/>
      <c r="E144" s="29"/>
      <c r="F144" s="29"/>
      <c r="G144" s="29"/>
      <c r="H144" s="29"/>
      <c r="I144" s="29"/>
      <c r="J144" s="29"/>
      <c r="K144" s="29"/>
    </row>
    <row r="145" spans="1:11" s="3" customFormat="1" hidden="1" x14ac:dyDescent="0.2">
      <c r="A145" s="31"/>
      <c r="B145" s="30"/>
      <c r="C145" s="30"/>
      <c r="D145" s="29"/>
      <c r="E145" s="29"/>
      <c r="F145" s="29"/>
      <c r="G145" s="29"/>
      <c r="H145" s="29"/>
      <c r="I145" s="29"/>
      <c r="J145" s="29"/>
      <c r="K145" s="29"/>
    </row>
    <row r="146" spans="1:11" s="3" customFormat="1" hidden="1" x14ac:dyDescent="0.2">
      <c r="A146" s="31"/>
      <c r="B146" s="30"/>
      <c r="C146" s="30"/>
      <c r="D146" s="29"/>
      <c r="E146" s="29"/>
      <c r="F146" s="29"/>
      <c r="G146" s="29"/>
      <c r="H146" s="29"/>
      <c r="I146" s="29"/>
      <c r="J146" s="29"/>
      <c r="K146" s="29"/>
    </row>
    <row r="147" spans="1:11" s="3" customFormat="1" hidden="1" x14ac:dyDescent="0.2">
      <c r="A147" s="31"/>
      <c r="B147" s="30"/>
      <c r="C147" s="30"/>
      <c r="D147" s="29"/>
      <c r="E147" s="29"/>
      <c r="F147" s="29"/>
      <c r="G147" s="29"/>
      <c r="H147" s="29"/>
      <c r="I147" s="29"/>
      <c r="J147" s="29"/>
      <c r="K147" s="29"/>
    </row>
    <row r="148" spans="1:11" s="3" customFormat="1" hidden="1" x14ac:dyDescent="0.2">
      <c r="A148" s="31"/>
      <c r="B148" s="30"/>
      <c r="C148" s="30"/>
      <c r="D148" s="29"/>
      <c r="E148" s="29"/>
      <c r="F148" s="29"/>
      <c r="G148" s="29"/>
      <c r="H148" s="29"/>
      <c r="I148" s="29"/>
      <c r="J148" s="29"/>
      <c r="K148" s="29"/>
    </row>
    <row r="149" spans="1:11" s="3" customFormat="1" hidden="1" x14ac:dyDescent="0.2">
      <c r="A149" s="31"/>
      <c r="B149" s="30"/>
      <c r="C149" s="30"/>
      <c r="D149" s="29"/>
      <c r="E149" s="29"/>
      <c r="F149" s="29"/>
      <c r="G149" s="29"/>
      <c r="H149" s="29"/>
      <c r="I149" s="29"/>
      <c r="J149" s="29"/>
      <c r="K149" s="29"/>
    </row>
    <row r="150" spans="1:11" s="3" customFormat="1" hidden="1" x14ac:dyDescent="0.2">
      <c r="A150" s="31"/>
      <c r="B150" s="30"/>
      <c r="C150" s="30"/>
      <c r="D150" s="29"/>
      <c r="E150" s="29"/>
      <c r="F150" s="29"/>
      <c r="G150" s="29"/>
      <c r="H150" s="29"/>
      <c r="I150" s="29"/>
      <c r="J150" s="29"/>
      <c r="K150" s="29"/>
    </row>
    <row r="151" spans="1:11" s="3" customFormat="1" hidden="1" x14ac:dyDescent="0.2">
      <c r="A151" s="31"/>
      <c r="B151" s="30"/>
      <c r="C151" s="30"/>
      <c r="D151" s="29"/>
      <c r="E151" s="29"/>
      <c r="F151" s="29"/>
      <c r="G151" s="29"/>
      <c r="H151" s="29"/>
      <c r="I151" s="29"/>
      <c r="J151" s="29"/>
      <c r="K151" s="29"/>
    </row>
    <row r="152" spans="1:11" s="3" customFormat="1" hidden="1" x14ac:dyDescent="0.2">
      <c r="A152" s="31"/>
      <c r="B152" s="30"/>
      <c r="C152" s="30"/>
      <c r="D152" s="29"/>
      <c r="E152" s="29"/>
      <c r="F152" s="29"/>
      <c r="G152" s="29"/>
      <c r="H152" s="29"/>
      <c r="I152" s="29"/>
      <c r="J152" s="29"/>
      <c r="K152" s="29"/>
    </row>
    <row r="153" spans="1:11" s="3" customFormat="1" hidden="1" x14ac:dyDescent="0.2">
      <c r="A153" s="31"/>
      <c r="B153" s="30"/>
      <c r="C153" s="30"/>
      <c r="D153" s="29"/>
      <c r="E153" s="29"/>
      <c r="F153" s="29"/>
      <c r="G153" s="29"/>
      <c r="H153" s="29"/>
      <c r="I153" s="29"/>
      <c r="J153" s="29"/>
      <c r="K153" s="29"/>
    </row>
    <row r="154" spans="1:11" s="3" customFormat="1" hidden="1" x14ac:dyDescent="0.2">
      <c r="A154" s="31"/>
      <c r="B154" s="30"/>
      <c r="C154" s="30"/>
      <c r="D154" s="29"/>
      <c r="E154" s="29"/>
      <c r="F154" s="29"/>
      <c r="G154" s="29"/>
      <c r="H154" s="29"/>
      <c r="I154" s="29"/>
      <c r="J154" s="29"/>
      <c r="K154" s="29"/>
    </row>
    <row r="155" spans="1:11" s="3" customFormat="1" hidden="1" x14ac:dyDescent="0.2">
      <c r="A155" s="31"/>
      <c r="B155" s="30"/>
      <c r="C155" s="30"/>
      <c r="D155" s="29"/>
      <c r="E155" s="29"/>
      <c r="F155" s="29"/>
      <c r="G155" s="29"/>
      <c r="H155" s="29"/>
      <c r="I155" s="29"/>
      <c r="J155" s="29"/>
      <c r="K155" s="29"/>
    </row>
    <row r="156" spans="1:11" s="3" customFormat="1" hidden="1" x14ac:dyDescent="0.2">
      <c r="A156" s="31"/>
      <c r="B156" s="30"/>
      <c r="C156" s="30"/>
      <c r="D156" s="29"/>
      <c r="E156" s="29"/>
      <c r="F156" s="29"/>
      <c r="G156" s="29"/>
      <c r="H156" s="29"/>
      <c r="I156" s="29"/>
      <c r="J156" s="29"/>
      <c r="K156" s="29"/>
    </row>
    <row r="157" spans="1:11" s="3" customFormat="1" hidden="1" x14ac:dyDescent="0.2">
      <c r="A157" s="31"/>
      <c r="B157" s="30"/>
      <c r="C157" s="30"/>
      <c r="D157" s="29"/>
      <c r="E157" s="29"/>
      <c r="F157" s="29"/>
      <c r="G157" s="29"/>
      <c r="H157" s="29"/>
      <c r="I157" s="29"/>
      <c r="J157" s="29"/>
      <c r="K157" s="29"/>
    </row>
    <row r="158" spans="1:11" s="3" customFormat="1" hidden="1" x14ac:dyDescent="0.2">
      <c r="A158" s="31"/>
      <c r="B158" s="30"/>
      <c r="C158" s="30"/>
      <c r="D158" s="29"/>
      <c r="E158" s="29"/>
      <c r="F158" s="29"/>
      <c r="G158" s="29"/>
      <c r="H158" s="29"/>
      <c r="I158" s="29"/>
      <c r="J158" s="29"/>
      <c r="K158" s="29"/>
    </row>
    <row r="159" spans="1:11" s="3" customFormat="1" hidden="1" x14ac:dyDescent="0.2">
      <c r="A159" s="31"/>
      <c r="B159" s="30"/>
      <c r="C159" s="30"/>
      <c r="D159" s="29"/>
      <c r="E159" s="29"/>
      <c r="F159" s="29"/>
      <c r="G159" s="29"/>
      <c r="H159" s="29"/>
      <c r="I159" s="29"/>
      <c r="J159" s="29"/>
      <c r="K159" s="29"/>
    </row>
    <row r="160" spans="1:11" s="3" customFormat="1" hidden="1" x14ac:dyDescent="0.2">
      <c r="A160" s="31"/>
      <c r="B160" s="30"/>
      <c r="C160" s="30"/>
      <c r="D160" s="29"/>
      <c r="E160" s="29"/>
      <c r="F160" s="29"/>
      <c r="G160" s="29"/>
      <c r="H160" s="29"/>
      <c r="I160" s="29"/>
      <c r="J160" s="29"/>
      <c r="K160" s="29"/>
    </row>
    <row r="161" spans="1:11" s="3" customFormat="1" hidden="1" x14ac:dyDescent="0.2">
      <c r="A161" s="31"/>
      <c r="B161" s="30"/>
      <c r="C161" s="30"/>
      <c r="D161" s="29"/>
      <c r="E161" s="29"/>
      <c r="F161" s="29"/>
      <c r="G161" s="29"/>
      <c r="H161" s="29"/>
      <c r="I161" s="29"/>
      <c r="J161" s="29"/>
      <c r="K161" s="29"/>
    </row>
    <row r="162" spans="1:11" s="3" customFormat="1" hidden="1" x14ac:dyDescent="0.2">
      <c r="A162" s="31"/>
      <c r="B162" s="30"/>
      <c r="C162" s="30"/>
      <c r="D162" s="29"/>
      <c r="E162" s="29"/>
      <c r="F162" s="29"/>
      <c r="G162" s="29"/>
      <c r="H162" s="29"/>
      <c r="I162" s="29"/>
      <c r="J162" s="29"/>
      <c r="K162" s="29"/>
    </row>
    <row r="163" spans="1:11" s="3" customFormat="1" hidden="1" x14ac:dyDescent="0.2">
      <c r="A163" s="31"/>
      <c r="B163" s="30"/>
      <c r="C163" s="30"/>
      <c r="D163" s="29"/>
      <c r="E163" s="29"/>
      <c r="F163" s="29"/>
      <c r="G163" s="29"/>
      <c r="H163" s="29"/>
      <c r="I163" s="29"/>
      <c r="J163" s="29"/>
      <c r="K163" s="29"/>
    </row>
    <row r="164" spans="1:11" s="3" customFormat="1" hidden="1" x14ac:dyDescent="0.2">
      <c r="A164" s="31"/>
      <c r="B164" s="30"/>
      <c r="C164" s="30"/>
      <c r="D164" s="29"/>
      <c r="E164" s="29"/>
      <c r="F164" s="29"/>
      <c r="G164" s="29"/>
      <c r="H164" s="29"/>
      <c r="I164" s="29"/>
      <c r="J164" s="29"/>
      <c r="K164" s="29"/>
    </row>
    <row r="165" spans="1:11" s="3" customFormat="1" hidden="1" x14ac:dyDescent="0.2">
      <c r="A165" s="31"/>
      <c r="B165" s="30"/>
      <c r="C165" s="30"/>
      <c r="D165" s="29"/>
      <c r="E165" s="29"/>
      <c r="F165" s="29"/>
      <c r="G165" s="29"/>
      <c r="H165" s="29"/>
      <c r="I165" s="29"/>
      <c r="J165" s="29"/>
      <c r="K165" s="29"/>
    </row>
    <row r="166" spans="1:11" s="3" customFormat="1" hidden="1" x14ac:dyDescent="0.2">
      <c r="A166" s="31"/>
      <c r="B166" s="30"/>
      <c r="C166" s="30"/>
      <c r="D166" s="29"/>
      <c r="E166" s="29"/>
      <c r="F166" s="29"/>
      <c r="G166" s="29"/>
      <c r="H166" s="29"/>
      <c r="I166" s="29"/>
      <c r="J166" s="29"/>
      <c r="K166" s="29"/>
    </row>
    <row r="167" spans="1:11" s="3" customFormat="1" hidden="1" x14ac:dyDescent="0.2">
      <c r="A167" s="31"/>
      <c r="B167" s="30"/>
      <c r="C167" s="30"/>
      <c r="D167" s="29"/>
      <c r="E167" s="29"/>
      <c r="F167" s="29"/>
      <c r="G167" s="29"/>
      <c r="H167" s="29"/>
      <c r="I167" s="29"/>
      <c r="J167" s="29"/>
      <c r="K167" s="29"/>
    </row>
    <row r="168" spans="1:11" s="3" customFormat="1" hidden="1" x14ac:dyDescent="0.2">
      <c r="A168" s="31"/>
      <c r="B168" s="29"/>
      <c r="C168" s="29"/>
      <c r="D168" s="29"/>
      <c r="E168" s="29"/>
      <c r="F168" s="29"/>
      <c r="G168" s="29"/>
      <c r="H168" s="29"/>
      <c r="I168" s="29"/>
      <c r="J168" s="29"/>
      <c r="K168" s="29"/>
    </row>
    <row r="169" spans="1:11" s="3" customFormat="1" hidden="1" x14ac:dyDescent="0.2">
      <c r="A169" s="31"/>
      <c r="B169" s="29"/>
      <c r="C169" s="29"/>
      <c r="D169" s="29"/>
      <c r="E169" s="29"/>
      <c r="F169" s="29"/>
      <c r="G169" s="29"/>
      <c r="H169" s="29"/>
      <c r="I169" s="29"/>
      <c r="J169" s="29"/>
      <c r="K169" s="29"/>
    </row>
    <row r="170" spans="1:11" s="35" customFormat="1" hidden="1" x14ac:dyDescent="0.25">
      <c r="A170" s="33"/>
      <c r="B170" s="34"/>
      <c r="C170" s="34"/>
      <c r="D170" s="34"/>
      <c r="E170" s="34"/>
      <c r="F170" s="34"/>
      <c r="G170" s="34"/>
      <c r="H170" s="34"/>
      <c r="I170" s="34"/>
      <c r="J170" s="32"/>
      <c r="K170" s="32"/>
    </row>
    <row r="171" spans="1:11" s="3" customFormat="1" hidden="1" x14ac:dyDescent="0.2">
      <c r="A171" s="29"/>
      <c r="B171" s="31"/>
      <c r="C171" s="31"/>
      <c r="D171" s="31"/>
      <c r="E171" s="31"/>
      <c r="F171" s="31"/>
      <c r="G171" s="31"/>
      <c r="H171" s="30"/>
      <c r="I171" s="30"/>
      <c r="J171" s="29"/>
      <c r="K171" s="29"/>
    </row>
    <row r="172" spans="1:11" s="3" customFormat="1" hidden="1" x14ac:dyDescent="0.2">
      <c r="A172" s="29"/>
      <c r="B172" s="31"/>
      <c r="C172" s="31"/>
      <c r="D172" s="31"/>
      <c r="E172" s="31"/>
      <c r="F172" s="31"/>
      <c r="G172" s="31"/>
      <c r="H172" s="30"/>
      <c r="I172" s="30"/>
      <c r="J172" s="29"/>
      <c r="K172" s="29"/>
    </row>
    <row r="173" spans="1:11" s="3" customFormat="1" hidden="1" x14ac:dyDescent="0.2">
      <c r="A173" s="29"/>
      <c r="B173" s="31"/>
      <c r="C173" s="31"/>
      <c r="D173" s="31"/>
      <c r="E173" s="31"/>
      <c r="F173" s="31"/>
      <c r="G173" s="31"/>
      <c r="H173" s="30"/>
      <c r="I173" s="30"/>
      <c r="J173" s="29"/>
      <c r="K173" s="29"/>
    </row>
    <row r="174" spans="1:11" s="3" customFormat="1" hidden="1" x14ac:dyDescent="0.2">
      <c r="A174" s="34"/>
      <c r="B174" s="34"/>
      <c r="C174" s="34"/>
      <c r="D174" s="34"/>
      <c r="E174" s="34"/>
      <c r="F174" s="34"/>
      <c r="G174" s="34"/>
      <c r="H174" s="34"/>
      <c r="I174" s="34"/>
      <c r="J174" s="29"/>
      <c r="K174" s="29"/>
    </row>
    <row r="175" spans="1:11" s="3" customFormat="1" hidden="1" x14ac:dyDescent="0.2">
      <c r="A175" s="29"/>
      <c r="B175" s="31"/>
      <c r="C175" s="31"/>
      <c r="D175" s="31"/>
      <c r="E175" s="31"/>
      <c r="F175" s="31"/>
      <c r="G175" s="31"/>
      <c r="H175" s="30"/>
      <c r="I175" s="30"/>
      <c r="J175" s="29"/>
      <c r="K175" s="29"/>
    </row>
    <row r="176" spans="1:11" s="3" customFormat="1" hidden="1" x14ac:dyDescent="0.2">
      <c r="A176" s="29"/>
      <c r="B176" s="31"/>
      <c r="C176" s="31"/>
      <c r="D176" s="31"/>
      <c r="E176" s="31"/>
      <c r="F176" s="31"/>
      <c r="G176" s="31"/>
      <c r="H176" s="30"/>
      <c r="I176" s="30"/>
      <c r="J176" s="29"/>
      <c r="K176" s="29"/>
    </row>
    <row r="177" spans="1:11" s="3" customFormat="1" hidden="1" x14ac:dyDescent="0.2">
      <c r="A177" s="29"/>
      <c r="B177" s="31"/>
      <c r="C177" s="31"/>
      <c r="D177" s="31"/>
      <c r="E177" s="31"/>
      <c r="F177" s="31"/>
      <c r="G177" s="31"/>
      <c r="H177" s="30"/>
      <c r="I177" s="30"/>
      <c r="J177" s="29"/>
      <c r="K177" s="29"/>
    </row>
    <row r="178" spans="1:11" s="3" customFormat="1" hidden="1" x14ac:dyDescent="0.2">
      <c r="A178" s="29"/>
      <c r="B178" s="31"/>
      <c r="C178" s="31"/>
      <c r="D178" s="31"/>
      <c r="E178" s="31"/>
      <c r="F178" s="31"/>
      <c r="G178" s="31"/>
      <c r="H178" s="30"/>
      <c r="I178" s="30"/>
      <c r="J178" s="29"/>
      <c r="K178" s="29"/>
    </row>
    <row r="179" spans="1:11" s="3" customFormat="1" hidden="1" x14ac:dyDescent="0.2">
      <c r="A179" s="29"/>
      <c r="B179" s="31"/>
      <c r="C179" s="31"/>
      <c r="D179" s="31"/>
      <c r="E179" s="31"/>
      <c r="F179" s="31"/>
      <c r="G179" s="31"/>
      <c r="H179" s="30"/>
      <c r="I179" s="30"/>
      <c r="J179" s="29"/>
      <c r="K179" s="29"/>
    </row>
    <row r="180" spans="1:11" s="3" customFormat="1" hidden="1" x14ac:dyDescent="0.2">
      <c r="A180" s="29"/>
      <c r="B180" s="31"/>
      <c r="C180" s="31"/>
      <c r="D180" s="31"/>
      <c r="E180" s="31"/>
      <c r="F180" s="31"/>
      <c r="G180" s="31"/>
      <c r="H180" s="30"/>
      <c r="I180" s="30"/>
      <c r="J180" s="29"/>
      <c r="K180" s="29"/>
    </row>
    <row r="181" spans="1:11" s="3" customFormat="1" hidden="1" x14ac:dyDescent="0.2">
      <c r="A181" s="29"/>
      <c r="B181" s="31"/>
      <c r="C181" s="31"/>
      <c r="D181" s="31"/>
      <c r="E181" s="31"/>
      <c r="F181" s="31"/>
      <c r="G181" s="31"/>
      <c r="H181" s="30"/>
      <c r="I181" s="30"/>
      <c r="J181" s="29"/>
      <c r="K181" s="29"/>
    </row>
    <row r="182" spans="1:11" s="3" customFormat="1" hidden="1" x14ac:dyDescent="0.2">
      <c r="A182" s="29"/>
      <c r="B182" s="31"/>
      <c r="C182" s="31"/>
      <c r="D182" s="31"/>
      <c r="E182" s="31"/>
      <c r="F182" s="31"/>
      <c r="G182" s="31"/>
      <c r="H182" s="30"/>
      <c r="I182" s="30"/>
      <c r="J182" s="29"/>
      <c r="K182" s="29"/>
    </row>
    <row r="183" spans="1:11" s="3" customFormat="1" hidden="1" x14ac:dyDescent="0.2">
      <c r="A183" s="29"/>
      <c r="B183" s="31"/>
      <c r="C183" s="31"/>
      <c r="D183" s="31"/>
      <c r="E183" s="31"/>
      <c r="F183" s="31"/>
      <c r="G183" s="31"/>
      <c r="H183" s="30"/>
      <c r="I183" s="30"/>
      <c r="J183" s="29"/>
      <c r="K183" s="29"/>
    </row>
    <row r="184" spans="1:11" s="3" customFormat="1" hidden="1" x14ac:dyDescent="0.2">
      <c r="A184" s="29"/>
      <c r="B184" s="31"/>
      <c r="C184" s="31"/>
      <c r="D184" s="31"/>
      <c r="E184" s="31"/>
      <c r="F184" s="31"/>
      <c r="G184" s="31"/>
      <c r="H184" s="30"/>
      <c r="I184" s="30"/>
      <c r="J184" s="29"/>
      <c r="K184" s="29"/>
    </row>
    <row r="185" spans="1:11" s="3" customFormat="1" hidden="1" x14ac:dyDescent="0.2">
      <c r="A185" s="29"/>
      <c r="B185" s="31"/>
      <c r="C185" s="31"/>
      <c r="D185" s="31"/>
      <c r="E185" s="31"/>
      <c r="F185" s="31"/>
      <c r="G185" s="31"/>
      <c r="H185" s="30"/>
      <c r="I185" s="30"/>
      <c r="J185" s="29"/>
      <c r="K185" s="29"/>
    </row>
    <row r="186" spans="1:11" s="3" customFormat="1" hidden="1" x14ac:dyDescent="0.2">
      <c r="A186" s="29"/>
      <c r="B186" s="31"/>
      <c r="C186" s="31"/>
      <c r="D186" s="31"/>
      <c r="E186" s="31"/>
      <c r="F186" s="31"/>
      <c r="G186" s="31"/>
      <c r="H186" s="30"/>
      <c r="I186" s="30"/>
      <c r="J186" s="29"/>
      <c r="K186" s="29"/>
    </row>
    <row r="187" spans="1:11" s="3" customFormat="1" hidden="1" x14ac:dyDescent="0.2">
      <c r="A187" s="29"/>
      <c r="B187" s="31"/>
      <c r="C187" s="31"/>
      <c r="D187" s="31"/>
      <c r="E187" s="31"/>
      <c r="F187" s="31"/>
      <c r="G187" s="31"/>
      <c r="H187" s="30"/>
      <c r="I187" s="30"/>
      <c r="J187" s="29"/>
      <c r="K187" s="29"/>
    </row>
    <row r="188" spans="1:11" s="3" customFormat="1" hidden="1" x14ac:dyDescent="0.2">
      <c r="A188" s="29"/>
      <c r="B188" s="31"/>
      <c r="C188" s="31"/>
      <c r="D188" s="31"/>
      <c r="E188" s="31"/>
      <c r="F188" s="31"/>
      <c r="G188" s="31"/>
      <c r="H188" s="30"/>
      <c r="I188" s="30"/>
      <c r="J188" s="29"/>
      <c r="K188" s="29"/>
    </row>
    <row r="189" spans="1:11" s="3" customFormat="1" hidden="1" x14ac:dyDescent="0.2">
      <c r="A189" s="29"/>
      <c r="B189" s="31"/>
      <c r="C189" s="31"/>
      <c r="D189" s="31"/>
      <c r="E189" s="31"/>
      <c r="F189" s="31"/>
      <c r="G189" s="31"/>
      <c r="H189" s="30"/>
      <c r="I189" s="30"/>
      <c r="J189" s="29"/>
      <c r="K189" s="29"/>
    </row>
    <row r="190" spans="1:11" s="3" customFormat="1" hidden="1" x14ac:dyDescent="0.2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</row>
    <row r="191" spans="1:11" s="3" customFormat="1" hidden="1" x14ac:dyDescent="0.2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</row>
    <row r="192" spans="1:11" s="3" customFormat="1" hidden="1" x14ac:dyDescent="0.2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</row>
    <row r="193" spans="1:11" s="3" customFormat="1" hidden="1" x14ac:dyDescent="0.2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</row>
    <row r="194" spans="1:11" s="3" customFormat="1" hidden="1" x14ac:dyDescent="0.2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</row>
    <row r="195" spans="1:11" s="3" customFormat="1" hidden="1" x14ac:dyDescent="0.2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</row>
    <row r="196" spans="1:11" s="3" customFormat="1" hidden="1" x14ac:dyDescent="0.2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</row>
    <row r="197" spans="1:11" s="3" customFormat="1" hidden="1" x14ac:dyDescent="0.2">
      <c r="A197" s="29"/>
      <c r="B197" s="29"/>
      <c r="C197" s="29"/>
      <c r="D197" s="29"/>
      <c r="J197" s="29"/>
      <c r="K197" s="29"/>
    </row>
    <row r="198" spans="1:11" s="3" customFormat="1" hidden="1" x14ac:dyDescent="0.2">
      <c r="A198" s="29"/>
      <c r="B198" s="29"/>
      <c r="C198" s="29"/>
      <c r="D198" s="29"/>
      <c r="J198" s="29"/>
      <c r="K198" s="29"/>
    </row>
    <row r="199" spans="1:11" s="3" customFormat="1" hidden="1" x14ac:dyDescent="0.2">
      <c r="A199" s="29"/>
      <c r="B199" s="29"/>
      <c r="C199" s="29"/>
      <c r="D199" s="29"/>
      <c r="J199" s="29"/>
      <c r="K199" s="29"/>
    </row>
    <row r="200" spans="1:11" s="3" customFormat="1" hidden="1" x14ac:dyDescent="0.2">
      <c r="A200" s="29"/>
      <c r="B200" s="29"/>
      <c r="C200" s="29"/>
      <c r="D200" s="29"/>
      <c r="J200" s="29"/>
      <c r="K200" s="29"/>
    </row>
    <row r="201" spans="1:11" s="3" customFormat="1" hidden="1" x14ac:dyDescent="0.2">
      <c r="A201" s="29"/>
      <c r="B201" s="29"/>
      <c r="C201" s="29"/>
      <c r="D201" s="29"/>
      <c r="J201" s="29"/>
      <c r="K201" s="29"/>
    </row>
    <row r="202" spans="1:11" s="3" customFormat="1" hidden="1" x14ac:dyDescent="0.2">
      <c r="A202" s="29"/>
      <c r="B202" s="29"/>
      <c r="C202" s="29"/>
      <c r="D202" s="29"/>
      <c r="J202" s="29"/>
      <c r="K202" s="29"/>
    </row>
    <row r="203" spans="1:11" s="3" customFormat="1" hidden="1" x14ac:dyDescent="0.2">
      <c r="A203" s="29"/>
      <c r="B203" s="29"/>
      <c r="C203" s="29"/>
      <c r="D203" s="29"/>
      <c r="J203" s="29"/>
      <c r="K203" s="29"/>
    </row>
    <row r="204" spans="1:11" s="3" customFormat="1" hidden="1" x14ac:dyDescent="0.2">
      <c r="A204" s="29"/>
      <c r="B204" s="29"/>
      <c r="C204" s="29"/>
      <c r="D204" s="29"/>
      <c r="J204" s="29"/>
      <c r="K204" s="29"/>
    </row>
    <row r="205" spans="1:11" s="3" customFormat="1" hidden="1" x14ac:dyDescent="0.2">
      <c r="A205" s="29"/>
      <c r="B205" s="29"/>
      <c r="C205" s="29"/>
      <c r="D205" s="29"/>
      <c r="J205" s="29"/>
      <c r="K205" s="29"/>
    </row>
    <row r="206" spans="1:11" s="3" customFormat="1" hidden="1" x14ac:dyDescent="0.2">
      <c r="A206" s="29"/>
      <c r="B206" s="29"/>
      <c r="C206" s="29"/>
      <c r="D206" s="29"/>
      <c r="J206" s="29"/>
      <c r="K206" s="29"/>
    </row>
    <row r="207" spans="1:11" s="3" customFormat="1" hidden="1" x14ac:dyDescent="0.2">
      <c r="A207" s="29"/>
      <c r="B207" s="29"/>
      <c r="C207" s="29"/>
      <c r="D207" s="29"/>
      <c r="J207" s="29"/>
      <c r="K207" s="29"/>
    </row>
    <row r="208" spans="1:11" s="3" customFormat="1" hidden="1" x14ac:dyDescent="0.2">
      <c r="A208" s="29"/>
      <c r="B208" s="29"/>
      <c r="C208" s="29"/>
      <c r="D208" s="29"/>
      <c r="J208" s="29"/>
      <c r="K208" s="29"/>
    </row>
    <row r="209" spans="1:11" s="3" customFormat="1" hidden="1" x14ac:dyDescent="0.2">
      <c r="A209" s="29"/>
      <c r="B209" s="29"/>
      <c r="C209" s="29"/>
      <c r="D209" s="29"/>
      <c r="J209" s="29"/>
      <c r="K209" s="29"/>
    </row>
    <row r="210" spans="1:11" s="3" customFormat="1" hidden="1" x14ac:dyDescent="0.2"/>
    <row r="211" spans="1:11" s="3" customFormat="1" hidden="1" x14ac:dyDescent="0.2"/>
    <row r="212" spans="1:11" s="3" customFormat="1" hidden="1" x14ac:dyDescent="0.2"/>
    <row r="213" spans="1:11" s="3" customFormat="1" hidden="1" x14ac:dyDescent="0.2"/>
    <row r="214" spans="1:11" s="3" customFormat="1" hidden="1" x14ac:dyDescent="0.2"/>
  </sheetData>
  <sheetProtection selectLockedCells="1" selectUnlockedCells="1"/>
  <mergeCells count="65">
    <mergeCell ref="B14:C14"/>
    <mergeCell ref="D14:E14"/>
    <mergeCell ref="F14:G14"/>
    <mergeCell ref="H14:I14"/>
    <mergeCell ref="B15:C15"/>
    <mergeCell ref="D15:E15"/>
    <mergeCell ref="F15:G15"/>
    <mergeCell ref="H15:I15"/>
    <mergeCell ref="A71:I71"/>
    <mergeCell ref="A72:I72"/>
    <mergeCell ref="A73:I73"/>
    <mergeCell ref="B139:C139"/>
    <mergeCell ref="A74:I74"/>
    <mergeCell ref="A75:I75"/>
    <mergeCell ref="A76:I76"/>
    <mergeCell ref="A77:I77"/>
    <mergeCell ref="A69:I69"/>
    <mergeCell ref="A70:I70"/>
    <mergeCell ref="A17:A18"/>
    <mergeCell ref="B17:C17"/>
    <mergeCell ref="D17:E17"/>
    <mergeCell ref="F17:G17"/>
    <mergeCell ref="H17:I17"/>
    <mergeCell ref="B33:C33"/>
    <mergeCell ref="D33:E33"/>
    <mergeCell ref="F33:G33"/>
    <mergeCell ref="H33:I33"/>
    <mergeCell ref="B12:C12"/>
    <mergeCell ref="D12:E12"/>
    <mergeCell ref="F12:G12"/>
    <mergeCell ref="H12:I12"/>
    <mergeCell ref="B13:C13"/>
    <mergeCell ref="D13:E13"/>
    <mergeCell ref="F13:G13"/>
    <mergeCell ref="H13:I13"/>
    <mergeCell ref="B10:C10"/>
    <mergeCell ref="D10:E10"/>
    <mergeCell ref="F10:G10"/>
    <mergeCell ref="H10:I10"/>
    <mergeCell ref="B11:C11"/>
    <mergeCell ref="D11:E11"/>
    <mergeCell ref="F11:G11"/>
    <mergeCell ref="H11:I11"/>
    <mergeCell ref="B8:C8"/>
    <mergeCell ref="D8:E8"/>
    <mergeCell ref="F8:G8"/>
    <mergeCell ref="H8:I8"/>
    <mergeCell ref="B9:C9"/>
    <mergeCell ref="D9:E9"/>
    <mergeCell ref="F9:G9"/>
    <mergeCell ref="H9:I9"/>
    <mergeCell ref="B6:C6"/>
    <mergeCell ref="D6:E6"/>
    <mergeCell ref="F6:G6"/>
    <mergeCell ref="H6:I6"/>
    <mergeCell ref="B7:C7"/>
    <mergeCell ref="D7:E7"/>
    <mergeCell ref="F7:G7"/>
    <mergeCell ref="H7:I7"/>
    <mergeCell ref="A4:A5"/>
    <mergeCell ref="B4:I4"/>
    <mergeCell ref="B5:C5"/>
    <mergeCell ref="D5:E5"/>
    <mergeCell ref="F5:G5"/>
    <mergeCell ref="H5:I5"/>
  </mergeCells>
  <phoneticPr fontId="30" type="noConversion"/>
  <dataValidations count="16">
    <dataValidation type="list" allowBlank="1" showInputMessage="1" showErrorMessage="1" sqref="B13:I13" xr:uid="{00000000-0002-0000-0100-000004000000}">
      <formula1>QPAFE</formula1>
    </dataValidation>
    <dataValidation type="list" allowBlank="1" showInputMessage="1" showErrorMessage="1" sqref="H12:I12" xr:uid="{00000000-0002-0000-0100-000005000000}">
      <formula1>OGGLT</formula1>
    </dataValidation>
    <dataValidation type="list" allowBlank="1" showInputMessage="1" showErrorMessage="1" sqref="F12:G12" xr:uid="{00000000-0002-0000-0100-000006000000}">
      <formula1>TAYYL</formula1>
    </dataValidation>
    <dataValidation type="list" allowBlank="1" showInputMessage="1" showErrorMessage="1" sqref="D12:E12" xr:uid="{00000000-0002-0000-0100-000007000000}">
      <formula1>PSAXR</formula1>
    </dataValidation>
    <dataValidation type="list" allowBlank="1" showInputMessage="1" showErrorMessage="1" sqref="B12:C12" xr:uid="{00000000-0002-0000-0100-000008000000}">
      <formula1>GQIBE</formula1>
    </dataValidation>
    <dataValidation type="list" allowBlank="1" showInputMessage="1" showErrorMessage="1" sqref="B11 D11 F11 H11" xr:uid="{00000000-0002-0000-0100-000009000000}">
      <formula1>"да, нет"</formula1>
    </dataValidation>
    <dataValidation type="decimal" operator="lessThanOrEqual" allowBlank="1" showInputMessage="1" showErrorMessage="1" sqref="H7 B7 D7 F7" xr:uid="{00000000-0002-0000-0100-00000A000000}">
      <formula1>3</formula1>
    </dataValidation>
    <dataValidation type="list" allowBlank="1" showInputMessage="1" showErrorMessage="1" sqref="B6:C6" xr:uid="{00000000-0002-0000-0100-00000B000000}">
      <formula1>JSLDC</formula1>
    </dataValidation>
    <dataValidation type="list" allowBlank="1" showInputMessage="1" showErrorMessage="1" sqref="D6:E6" xr:uid="{00000000-0002-0000-0100-00000C000000}">
      <formula1>DYRFP</formula1>
    </dataValidation>
    <dataValidation type="list" allowBlank="1" showInputMessage="1" showErrorMessage="1" sqref="F6:G6" xr:uid="{00000000-0002-0000-0100-00000D000000}">
      <formula1>GURGW</formula1>
    </dataValidation>
    <dataValidation type="list" allowBlank="1" showInputMessage="1" showErrorMessage="1" sqref="H6:I6" xr:uid="{00000000-0002-0000-0100-00000E000000}">
      <formula1>XODFC</formula1>
    </dataValidation>
    <dataValidation type="list" allowBlank="1" showInputMessage="1" showErrorMessage="1" sqref="H14:I14" xr:uid="{00000000-0002-0000-0100-00000F000000}">
      <formula1>CEXUI</formula1>
    </dataValidation>
    <dataValidation type="list" allowBlank="1" showInputMessage="1" showErrorMessage="1" sqref="F14:G14" xr:uid="{00000000-0002-0000-0100-000010000000}">
      <formula1>IANCJ</formula1>
    </dataValidation>
    <dataValidation type="list" allowBlank="1" showInputMessage="1" showErrorMessage="1" sqref="D14:E14" xr:uid="{00000000-0002-0000-0100-000011000000}">
      <formula1>MUGNQ</formula1>
    </dataValidation>
    <dataValidation type="list" allowBlank="1" showInputMessage="1" showErrorMessage="1" sqref="B14:C14" xr:uid="{00000000-0002-0000-0100-000012000000}">
      <formula1>BTYPS</formula1>
    </dataValidation>
    <dataValidation type="list" allowBlank="1" showInputMessage="1" showErrorMessage="1" sqref="B15:I15" xr:uid="{00000000-0002-0000-0100-000014000000}">
      <formula1>TokyoType</formula1>
    </dataValidation>
  </dataValidations>
  <printOptions horizontalCentered="1"/>
  <pageMargins left="0.25" right="0.25" top="0.75" bottom="0.75" header="0.3" footer="0.3"/>
  <pageSetup paperSize="9" scale="58" firstPageNumber="0" fitToHeight="2" orientation="portrait" horizontalDpi="300" verticalDpi="300" r:id="rId1"/>
  <headerFooter scaleWithDoc="0"/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CC00"/>
    <pageSetUpPr fitToPage="1"/>
  </sheetPr>
  <dimension ref="A1:AD215"/>
  <sheetViews>
    <sheetView showGridLines="0" zoomScale="80" zoomScaleNormal="80" zoomScaleSheetLayoutView="50" zoomScalePageLayoutView="55" workbookViewId="0">
      <pane ySplit="17" topLeftCell="A18" activePane="bottomLeft" state="frozen"/>
      <selection pane="bottomLeft"/>
    </sheetView>
  </sheetViews>
  <sheetFormatPr defaultColWidth="0" defaultRowHeight="12.75" zeroHeight="1" x14ac:dyDescent="0.2"/>
  <cols>
    <col min="1" max="1" width="63.140625" style="2" customWidth="1"/>
    <col min="2" max="2" width="14" style="2" customWidth="1"/>
    <col min="3" max="3" width="13.140625" style="2" customWidth="1"/>
    <col min="4" max="4" width="15.5703125" style="2" customWidth="1"/>
    <col min="5" max="6" width="14.42578125" style="2" customWidth="1"/>
    <col min="7" max="7" width="12.5703125" style="2" customWidth="1"/>
    <col min="8" max="8" width="13.5703125" style="2" customWidth="1"/>
    <col min="9" max="9" width="14.85546875" style="2" customWidth="1"/>
    <col min="10" max="10" width="25.28515625" style="2" customWidth="1"/>
    <col min="11" max="11" width="15.42578125" style="2" hidden="1" customWidth="1"/>
    <col min="12" max="12" width="9" style="2" hidden="1" customWidth="1"/>
    <col min="13" max="13" width="13.85546875" style="2" hidden="1" customWidth="1"/>
    <col min="14" max="14" width="10.85546875" style="2" hidden="1" customWidth="1"/>
    <col min="15" max="18" width="9.140625" style="2" hidden="1" customWidth="1"/>
    <col min="19" max="30" width="0" style="2" hidden="1" customWidth="1"/>
    <col min="31" max="16384" width="9.140625" style="2" hidden="1"/>
  </cols>
  <sheetData>
    <row r="1" spans="1:11" x14ac:dyDescent="0.2">
      <c r="A1" s="152">
        <v>45273</v>
      </c>
      <c r="B1" s="104"/>
      <c r="C1" s="104"/>
      <c r="D1" s="104"/>
      <c r="E1" s="1"/>
      <c r="F1" s="1"/>
      <c r="H1" s="49"/>
      <c r="I1" s="4"/>
    </row>
    <row r="2" spans="1:11" ht="27" customHeight="1" thickBot="1" x14ac:dyDescent="0.25">
      <c r="A2" s="111" t="s">
        <v>209</v>
      </c>
      <c r="B2" s="111"/>
      <c r="C2" s="111"/>
      <c r="D2" s="111"/>
      <c r="E2" s="111"/>
      <c r="F2" s="111"/>
      <c r="G2" s="111"/>
      <c r="H2" s="111"/>
      <c r="I2" s="111"/>
      <c r="K2" s="4"/>
    </row>
    <row r="3" spans="1:11" ht="16.5" customHeight="1" x14ac:dyDescent="0.2">
      <c r="A3" s="5"/>
      <c r="B3" s="6"/>
      <c r="H3" s="7"/>
      <c r="I3" s="7"/>
      <c r="J3" s="9"/>
      <c r="K3" s="9"/>
    </row>
    <row r="4" spans="1:11" ht="16.5" customHeight="1" x14ac:dyDescent="0.2">
      <c r="A4" s="176" t="s">
        <v>144</v>
      </c>
      <c r="B4" s="162" t="s">
        <v>30</v>
      </c>
      <c r="C4" s="162"/>
      <c r="D4" s="162"/>
      <c r="E4" s="162"/>
      <c r="F4" s="162"/>
      <c r="G4" s="162"/>
      <c r="H4" s="162"/>
      <c r="I4" s="162"/>
      <c r="J4" s="9"/>
      <c r="K4" s="9"/>
    </row>
    <row r="5" spans="1:11" ht="16.5" customHeight="1" x14ac:dyDescent="0.2">
      <c r="A5" s="176"/>
      <c r="B5" s="172" t="s">
        <v>32</v>
      </c>
      <c r="C5" s="172"/>
      <c r="D5" s="172" t="s">
        <v>33</v>
      </c>
      <c r="E5" s="172"/>
      <c r="F5" s="172" t="s">
        <v>34</v>
      </c>
      <c r="G5" s="172"/>
      <c r="H5" s="172" t="s">
        <v>35</v>
      </c>
      <c r="I5" s="172"/>
      <c r="J5" s="9"/>
      <c r="K5" s="9"/>
    </row>
    <row r="6" spans="1:11" ht="16.5" customHeight="1" x14ac:dyDescent="0.2">
      <c r="A6" s="69" t="s">
        <v>68</v>
      </c>
      <c r="B6" s="169" t="s">
        <v>147</v>
      </c>
      <c r="C6" s="185"/>
      <c r="D6" s="185"/>
      <c r="E6" s="185"/>
      <c r="F6" s="185"/>
      <c r="G6" s="185"/>
      <c r="H6" s="185"/>
      <c r="I6" s="170"/>
      <c r="J6" s="6" t="s">
        <v>126</v>
      </c>
      <c r="K6" s="9"/>
    </row>
    <row r="7" spans="1:11" ht="16.5" customHeight="1" x14ac:dyDescent="0.2">
      <c r="A7" s="69" t="s">
        <v>69</v>
      </c>
      <c r="B7" s="169" t="s">
        <v>148</v>
      </c>
      <c r="C7" s="185"/>
      <c r="D7" s="185"/>
      <c r="E7" s="185"/>
      <c r="F7" s="185"/>
      <c r="G7" s="185"/>
      <c r="H7" s="185"/>
      <c r="I7" s="170"/>
      <c r="J7" s="6" t="s">
        <v>126</v>
      </c>
      <c r="K7" s="9"/>
    </row>
    <row r="8" spans="1:11" ht="16.5" customHeight="1" x14ac:dyDescent="0.2">
      <c r="A8" s="68" t="s">
        <v>123</v>
      </c>
      <c r="B8" s="171">
        <v>0</v>
      </c>
      <c r="C8" s="171"/>
      <c r="D8" s="171">
        <v>0</v>
      </c>
      <c r="E8" s="171"/>
      <c r="F8" s="171">
        <v>0</v>
      </c>
      <c r="G8" s="171"/>
      <c r="H8" s="171">
        <v>0</v>
      </c>
      <c r="I8" s="171"/>
      <c r="J8" s="6" t="s">
        <v>126</v>
      </c>
      <c r="K8" s="9"/>
    </row>
    <row r="9" spans="1:11" ht="16.5" customHeight="1" x14ac:dyDescent="0.2">
      <c r="A9" s="68" t="s">
        <v>38</v>
      </c>
      <c r="B9" s="171">
        <v>0</v>
      </c>
      <c r="C9" s="171"/>
      <c r="D9" s="171">
        <v>0</v>
      </c>
      <c r="E9" s="171"/>
      <c r="F9" s="171">
        <v>0</v>
      </c>
      <c r="G9" s="171"/>
      <c r="H9" s="171">
        <v>0</v>
      </c>
      <c r="I9" s="171"/>
      <c r="J9" s="6" t="s">
        <v>127</v>
      </c>
      <c r="K9" s="9"/>
    </row>
    <row r="10" spans="1:11" ht="16.5" customHeight="1" x14ac:dyDescent="0.2">
      <c r="A10" s="68" t="s">
        <v>40</v>
      </c>
      <c r="B10" s="171">
        <v>0</v>
      </c>
      <c r="C10" s="171"/>
      <c r="D10" s="171">
        <v>0</v>
      </c>
      <c r="E10" s="171"/>
      <c r="F10" s="171">
        <v>0</v>
      </c>
      <c r="G10" s="171"/>
      <c r="H10" s="171">
        <v>0</v>
      </c>
      <c r="I10" s="171"/>
      <c r="J10" s="6" t="s">
        <v>128</v>
      </c>
      <c r="K10" s="9"/>
    </row>
    <row r="11" spans="1:11" ht="16.5" customHeight="1" x14ac:dyDescent="0.2">
      <c r="A11" s="69" t="s">
        <v>41</v>
      </c>
      <c r="B11" s="171">
        <v>0</v>
      </c>
      <c r="C11" s="171"/>
      <c r="D11" s="171">
        <v>0</v>
      </c>
      <c r="E11" s="171"/>
      <c r="F11" s="171">
        <v>0</v>
      </c>
      <c r="G11" s="171"/>
      <c r="H11" s="171">
        <v>0</v>
      </c>
      <c r="I11" s="171"/>
      <c r="J11" s="6" t="s">
        <v>128</v>
      </c>
      <c r="K11" s="9"/>
    </row>
    <row r="12" spans="1:11" ht="16.5" customHeight="1" x14ac:dyDescent="0.2">
      <c r="A12" s="69" t="s">
        <v>183</v>
      </c>
      <c r="B12" s="171">
        <v>0</v>
      </c>
      <c r="C12" s="171"/>
      <c r="D12" s="171">
        <v>0</v>
      </c>
      <c r="E12" s="171"/>
      <c r="F12" s="171">
        <v>0</v>
      </c>
      <c r="G12" s="171"/>
      <c r="H12" s="171">
        <v>0</v>
      </c>
      <c r="I12" s="171"/>
      <c r="J12" s="6" t="s">
        <v>128</v>
      </c>
      <c r="K12" s="9"/>
    </row>
    <row r="13" spans="1:11" ht="16.5" customHeight="1" x14ac:dyDescent="0.2">
      <c r="A13" s="68" t="s">
        <v>44</v>
      </c>
      <c r="B13" s="171" t="s">
        <v>45</v>
      </c>
      <c r="C13" s="171"/>
      <c r="D13" s="171" t="s">
        <v>45</v>
      </c>
      <c r="E13" s="171"/>
      <c r="F13" s="171" t="s">
        <v>45</v>
      </c>
      <c r="G13" s="171"/>
      <c r="H13" s="171" t="s">
        <v>45</v>
      </c>
      <c r="I13" s="171"/>
      <c r="J13" s="6" t="s">
        <v>126</v>
      </c>
      <c r="K13" s="9"/>
    </row>
    <row r="14" spans="1:11" ht="16.5" customHeight="1" x14ac:dyDescent="0.2">
      <c r="A14" s="68" t="s">
        <v>150</v>
      </c>
      <c r="B14" s="154" t="s">
        <v>45</v>
      </c>
      <c r="C14" s="155"/>
      <c r="D14" s="154" t="s">
        <v>45</v>
      </c>
      <c r="E14" s="155"/>
      <c r="F14" s="154" t="s">
        <v>45</v>
      </c>
      <c r="G14" s="155"/>
      <c r="H14" s="154" t="s">
        <v>45</v>
      </c>
      <c r="I14" s="155"/>
      <c r="J14" s="6" t="s">
        <v>126</v>
      </c>
      <c r="K14" s="9"/>
    </row>
    <row r="15" spans="1:11" ht="32.25" customHeight="1" x14ac:dyDescent="0.2">
      <c r="A15" s="68" t="s">
        <v>151</v>
      </c>
      <c r="B15" s="154" t="s">
        <v>45</v>
      </c>
      <c r="C15" s="155"/>
      <c r="D15" s="154" t="s">
        <v>45</v>
      </c>
      <c r="E15" s="155"/>
      <c r="F15" s="154" t="s">
        <v>45</v>
      </c>
      <c r="G15" s="155"/>
      <c r="H15" s="154" t="s">
        <v>45</v>
      </c>
      <c r="I15" s="155"/>
      <c r="J15" s="6" t="s">
        <v>126</v>
      </c>
      <c r="K15" s="9"/>
    </row>
    <row r="16" spans="1:11" ht="16.5" customHeight="1" x14ac:dyDescent="0.2">
      <c r="A16" s="68" t="s">
        <v>161</v>
      </c>
      <c r="B16" s="154" t="s">
        <v>10</v>
      </c>
      <c r="C16" s="155"/>
      <c r="D16" s="154" t="s">
        <v>10</v>
      </c>
      <c r="E16" s="155"/>
      <c r="F16" s="154" t="s">
        <v>10</v>
      </c>
      <c r="G16" s="155"/>
      <c r="H16" s="154" t="s">
        <v>10</v>
      </c>
      <c r="I16" s="155"/>
      <c r="J16" s="6" t="s">
        <v>126</v>
      </c>
      <c r="K16" s="9"/>
    </row>
    <row r="17" spans="1:11" ht="30.75" customHeight="1" x14ac:dyDescent="0.2">
      <c r="A17" s="180" t="s">
        <v>152</v>
      </c>
      <c r="B17" s="180"/>
      <c r="C17" s="180"/>
      <c r="D17" s="180"/>
      <c r="E17" s="180"/>
      <c r="F17" s="180"/>
      <c r="G17" s="180"/>
      <c r="H17" s="180"/>
      <c r="I17" s="180"/>
      <c r="J17" s="9"/>
      <c r="K17" s="9"/>
    </row>
    <row r="18" spans="1:11" ht="45" customHeight="1" x14ac:dyDescent="0.2">
      <c r="H18" s="7"/>
      <c r="I18" s="7"/>
      <c r="J18" s="9"/>
      <c r="K18" s="9"/>
    </row>
    <row r="19" spans="1:11" ht="16.5" customHeight="1" x14ac:dyDescent="0.2">
      <c r="A19" s="162" t="s">
        <v>145</v>
      </c>
      <c r="B19" s="163" t="s">
        <v>0</v>
      </c>
      <c r="C19" s="164"/>
      <c r="D19" s="164" t="s">
        <v>1</v>
      </c>
      <c r="E19" s="164"/>
      <c r="F19" s="164" t="s">
        <v>2</v>
      </c>
      <c r="G19" s="164"/>
      <c r="H19" s="164" t="s">
        <v>3</v>
      </c>
      <c r="I19" s="165"/>
      <c r="K19" s="9"/>
    </row>
    <row r="20" spans="1:11" ht="16.5" customHeight="1" x14ac:dyDescent="0.2">
      <c r="A20" s="162"/>
      <c r="B20" s="70" t="s">
        <v>6</v>
      </c>
      <c r="C20" s="71" t="s">
        <v>7</v>
      </c>
      <c r="D20" s="72" t="s">
        <v>6</v>
      </c>
      <c r="E20" s="71" t="s">
        <v>7</v>
      </c>
      <c r="F20" s="72" t="s">
        <v>6</v>
      </c>
      <c r="G20" s="71" t="s">
        <v>7</v>
      </c>
      <c r="H20" s="72" t="s">
        <v>6</v>
      </c>
      <c r="I20" s="70" t="s">
        <v>7</v>
      </c>
      <c r="K20" s="9"/>
    </row>
    <row r="21" spans="1:11" ht="16.5" customHeight="1" x14ac:dyDescent="0.2">
      <c r="A21" s="73" t="s">
        <v>84</v>
      </c>
      <c r="B21" s="73"/>
      <c r="C21" s="74"/>
      <c r="D21" s="75"/>
      <c r="E21" s="76"/>
      <c r="F21" s="75"/>
      <c r="G21" s="76"/>
      <c r="H21" s="75"/>
      <c r="I21" s="77"/>
      <c r="K21" s="9"/>
    </row>
    <row r="22" spans="1:11" ht="16.5" customHeight="1" x14ac:dyDescent="0.2">
      <c r="A22" s="46" t="s">
        <v>59</v>
      </c>
      <c r="B22" s="53">
        <f>IF(C22=0,0,B9-0.01)</f>
        <v>0</v>
      </c>
      <c r="C22" s="54">
        <f>IF($B$6="ламель 125",IF(B10=0,0,B10*VLOOKUP(B8,Данные!$A$89:$G$130,2,FALSE)),0)</f>
        <v>0</v>
      </c>
      <c r="D22" s="53">
        <f>IF(E22=0,0,D9-0.01)</f>
        <v>0</v>
      </c>
      <c r="E22" s="54">
        <f>IF($B$6="ламель 125",IF(D10=0,0,D10*VLOOKUP(D8,Данные!$A$89:$G$130,2,FALSE)),0)</f>
        <v>0</v>
      </c>
      <c r="F22" s="53">
        <f>IF(G22=0,0,F9-0.01)</f>
        <v>0</v>
      </c>
      <c r="G22" s="54">
        <f>IF($B$6="ламель 125",IF(F10=0,0,F10*VLOOKUP(F8,Данные!$A$89:$G$130,2,FALSE)),0)</f>
        <v>0</v>
      </c>
      <c r="H22" s="55">
        <f>IF(I22=0,0,H9-0.01)</f>
        <v>0</v>
      </c>
      <c r="I22" s="56">
        <f>IF($B$6="ламель 125",IF(H10=0,0,H10*VLOOKUP(H8,Данные!$A$89:$G$130,2,FALSE)),0)</f>
        <v>0</v>
      </c>
      <c r="K22" s="9"/>
    </row>
    <row r="23" spans="1:11" ht="16.5" customHeight="1" x14ac:dyDescent="0.2">
      <c r="A23" s="46" t="s">
        <v>60</v>
      </c>
      <c r="B23" s="53">
        <f t="shared" ref="B23:I23" si="0">B22</f>
        <v>0</v>
      </c>
      <c r="C23" s="54">
        <f t="shared" si="0"/>
        <v>0</v>
      </c>
      <c r="D23" s="53">
        <f t="shared" si="0"/>
        <v>0</v>
      </c>
      <c r="E23" s="54">
        <f t="shared" si="0"/>
        <v>0</v>
      </c>
      <c r="F23" s="53">
        <f t="shared" si="0"/>
        <v>0</v>
      </c>
      <c r="G23" s="54">
        <f t="shared" si="0"/>
        <v>0</v>
      </c>
      <c r="H23" s="55">
        <f t="shared" si="0"/>
        <v>0</v>
      </c>
      <c r="I23" s="56">
        <f t="shared" si="0"/>
        <v>0</v>
      </c>
      <c r="K23" s="9"/>
    </row>
    <row r="24" spans="1:11" ht="16.5" customHeight="1" x14ac:dyDescent="0.2">
      <c r="A24" s="46" t="s">
        <v>61</v>
      </c>
      <c r="B24" s="53">
        <f>IF(OR(C24=0,B7="-"),0,B9-0.01)</f>
        <v>0</v>
      </c>
      <c r="C24" s="54">
        <f>IF($B$6="ламель 150",IF($B$7="меньше (25-50мм в зависимости от высоты забора)",IF(B10=0,0,B10*VLOOKUP(B8,Данные!$A$89:$G$130,4,FALSE)),IF(B10=0,0,B10*VLOOKUP(B8,Данные!$A$89:$G$130,6,FALSE))),0)</f>
        <v>0</v>
      </c>
      <c r="D24" s="53">
        <f>IF(OR(E24=0,B7="-"),0,D9-0.01)</f>
        <v>0</v>
      </c>
      <c r="E24" s="54">
        <f>IF($B$6="ламель 150",IF($B$7="меньше (25-50мм в зависимости от высоты забора)",IF(D10=0,0,D10*VLOOKUP(D8,Данные!$A$89:$G$130,4,FALSE)),IF(D10=0,0,D10*VLOOKUP(D8,Данные!$A$89:$G$130,6,FALSE))),0)</f>
        <v>0</v>
      </c>
      <c r="F24" s="53">
        <f>IF(OR(G24=0,B7="-"),0,F9-0.01)</f>
        <v>0</v>
      </c>
      <c r="G24" s="54">
        <f>IF($B$6="ламель 150",IF($B$7="меньше (25-50мм в зависимости от высоты забора)",IF(F10=0,0,F10*VLOOKUP(F8,Данные!$A$89:$G$130,4,FALSE)),IF(F10=0,0,F10*VLOOKUP(F8,Данные!$A$89:$G$130,6,FALSE))),0)</f>
        <v>0</v>
      </c>
      <c r="H24" s="55">
        <f>IF(OR(I24=0,B7="-"),0,H9-0.01)</f>
        <v>0</v>
      </c>
      <c r="I24" s="56">
        <f>IF($B$6="ламель 150",IF($B$7="меньше (25-50мм в зависимости от высоты забора)",IF(H10=0,0,H10*VLOOKUP(H8,Данные!$A$89:$G$130,4,FALSE)),IF(H10=0,0,H10*VLOOKUP(H8,Данные!$A$89:$G$130,6,FALSE))),0)</f>
        <v>0</v>
      </c>
      <c r="K24" s="9"/>
    </row>
    <row r="25" spans="1:11" ht="16.5" customHeight="1" x14ac:dyDescent="0.2">
      <c r="A25" s="46" t="s">
        <v>62</v>
      </c>
      <c r="B25" s="53">
        <f t="shared" ref="B25:I25" si="1">B24</f>
        <v>0</v>
      </c>
      <c r="C25" s="54">
        <f t="shared" si="1"/>
        <v>0</v>
      </c>
      <c r="D25" s="53">
        <f t="shared" si="1"/>
        <v>0</v>
      </c>
      <c r="E25" s="54">
        <f t="shared" si="1"/>
        <v>0</v>
      </c>
      <c r="F25" s="53">
        <f t="shared" si="1"/>
        <v>0</v>
      </c>
      <c r="G25" s="54">
        <f t="shared" si="1"/>
        <v>0</v>
      </c>
      <c r="H25" s="55">
        <f t="shared" si="1"/>
        <v>0</v>
      </c>
      <c r="I25" s="56">
        <f t="shared" si="1"/>
        <v>0</v>
      </c>
      <c r="K25" s="9"/>
    </row>
    <row r="26" spans="1:11" ht="16.5" customHeight="1" x14ac:dyDescent="0.2">
      <c r="A26" s="46" t="s">
        <v>66</v>
      </c>
      <c r="B26" s="53" t="str">
        <f>IF($B$6="ламель 125",VLOOKUP(B8,Данные!$A$89:$G$130,3,FALSE),IF(AND($B$6="ламель 150",OR($B$7="-",$B$7="меньше (25-50мм в зависимости от высоты забора)")),VLOOKUP(B8,Данные!$A$89:$G$130,5,FALSE),IF(AND($B$6="ламель 150",$B$7="больше (50-80мм в зависимости от высоты забора)"),VLOOKUP(B8,Данные!$A$89:$G$130,7,FALSE),"-")))</f>
        <v>-</v>
      </c>
      <c r="C26" s="54"/>
      <c r="D26" s="53" t="str">
        <f>IF($B$6="ламель 125",VLOOKUP(D8,Данные!$A$89:$G$130,3,FALSE),IF(AND($B$6="ламель 150",OR($B$7="-",$B$7="меньше (25-50мм в зависимости от высоты забора)")),VLOOKUP(D8,Данные!$A$89:$G$130,5,FALSE),IF(AND($B$6="ламель 150",$B$7="больше (50-80мм в зависимости от высоты забора)"),VLOOKUP(D8,Данные!$A$89:$G$130,7,FALSE),"-")))</f>
        <v>-</v>
      </c>
      <c r="E26" s="54"/>
      <c r="F26" s="53" t="str">
        <f>IF($B$6="ламель 125",VLOOKUP(F8,Данные!$A$89:$G$130,3,FALSE),IF(AND($B$6="ламель 150",OR($B$7="-",$B$7="меньше (25-50мм в зависимости от высоты забора)")),VLOOKUP(F8,Данные!$A$89:$G$130,5,FALSE),IF(AND($B$6="ламель 150",$B$7="больше (50-80мм в зависимости от высоты забора)"),VLOOKUP(F8,Данные!$A$89:$G$130,7,FALSE),"-")))</f>
        <v>-</v>
      </c>
      <c r="G26" s="54"/>
      <c r="H26" s="55" t="str">
        <f>IF($B$6="ламель 125",VLOOKUP(H8,Данные!$A$89:$G$130,3,FALSE),IF(AND($B$6="ламель 150",OR($B$7="-",$B$7="меньше (25-50мм в зависимости от высоты забора)")),VLOOKUP(H8,Данные!$A$89:$G$130,5,FALSE),IF(AND($B$6="ламель 150",$B$7="больше (50-80мм в зависимости от высоты забора)"),VLOOKUP(H8,Данные!$A$89:$G$130,7,FALSE),"-")))</f>
        <v>-</v>
      </c>
      <c r="I26" s="56"/>
      <c r="K26" s="9"/>
    </row>
    <row r="27" spans="1:11" ht="16.5" customHeight="1" x14ac:dyDescent="0.2">
      <c r="A27" s="46" t="s">
        <v>63</v>
      </c>
      <c r="B27" s="53">
        <f>IF(C27=0,0,B9)</f>
        <v>0</v>
      </c>
      <c r="C27" s="54">
        <f>IF(C29&gt;0,0,IF(OR($B$6="ламель 125",AND($B$6="ламель 150",OR($B$7="-",$B$7="меньше (25-50мм в зависимости от высоты забора)"))),B10,0))</f>
        <v>0</v>
      </c>
      <c r="D27" s="53">
        <f>IF(E27=0,0,D9)</f>
        <v>0</v>
      </c>
      <c r="E27" s="54">
        <f>IF(E29&gt;0,0,IF(OR($B$6="ламель 125",AND($B$6="ламель 150",OR($B$7="-",$B$7="меньше (25-50мм в зависимости от высоты забора)"))),D10,0))</f>
        <v>0</v>
      </c>
      <c r="F27" s="53">
        <f>IF(G27=0,0,F9)</f>
        <v>0</v>
      </c>
      <c r="G27" s="54">
        <f>IF(G29&gt;0,0,IF(OR($B$6="ламель 125",AND($B$6="ламель 150",OR($B$7="-",$B$7="меньше (25-50мм в зависимости от высоты забора)"))),F10,0))</f>
        <v>0</v>
      </c>
      <c r="H27" s="55">
        <f>IF(I27=0,0,H9)</f>
        <v>0</v>
      </c>
      <c r="I27" s="56">
        <f>IF(I29&gt;0,0,IF(OR($B$6="ламель 125",AND($B$6="ламель 150",OR($B$7="-",$B$7="меньше (25-50мм в зависимости от высоты забора)"))),H10,0))</f>
        <v>0</v>
      </c>
      <c r="K27" s="9"/>
    </row>
    <row r="28" spans="1:11" ht="16.5" customHeight="1" x14ac:dyDescent="0.2">
      <c r="A28" s="46" t="s">
        <v>64</v>
      </c>
      <c r="B28" s="53">
        <f>IF(C28=0,0,B9)</f>
        <v>0</v>
      </c>
      <c r="C28" s="54">
        <f>IF(C29&gt;0,0,IF(AND($B$6="ламель 150",$B$7="больше (50-80мм в зависимости от высоты забора)"),B10,0))</f>
        <v>0</v>
      </c>
      <c r="D28" s="53">
        <f>IF(E28=0,0,D9)</f>
        <v>0</v>
      </c>
      <c r="E28" s="54">
        <f>IF(E29&gt;0,0,IF(AND($B$6="ламель 150",$B$7="больше (50-80мм в зависимости от высоты забора)"),D10,0))</f>
        <v>0</v>
      </c>
      <c r="F28" s="53">
        <f>IF(G28=0,0,F9)</f>
        <v>0</v>
      </c>
      <c r="G28" s="54">
        <f>IF(G29&gt;0,0,IF(AND($B$6="ламель 150",$B$7="больше (50-80мм в зависимости от высоты забора)"),F10,0))</f>
        <v>0</v>
      </c>
      <c r="H28" s="55">
        <f>IF(I28=0,0,H9)</f>
        <v>0</v>
      </c>
      <c r="I28" s="56">
        <f>IF(I29&gt;0,0,IF(AND($B$6="ламель 150",$B$7="больше (50-80мм в зависимости от высоты забора)"),H10,0))</f>
        <v>0</v>
      </c>
      <c r="K28" s="9"/>
    </row>
    <row r="29" spans="1:11" ht="16.5" customHeight="1" x14ac:dyDescent="0.2">
      <c r="A29" s="46" t="s">
        <v>191</v>
      </c>
      <c r="B29" s="53">
        <f>IF(C29=0,0,B9)</f>
        <v>0</v>
      </c>
      <c r="C29" s="54">
        <f>IF(OR(B9=2,B9&gt;2),B10,0)</f>
        <v>0</v>
      </c>
      <c r="D29" s="53">
        <f>IF(E29=0,0,D9)</f>
        <v>0</v>
      </c>
      <c r="E29" s="54">
        <f>IF(OR(D9=2,D9&gt;2),D10,0)</f>
        <v>0</v>
      </c>
      <c r="F29" s="53">
        <f>IF(G29=0,0,F9)</f>
        <v>0</v>
      </c>
      <c r="G29" s="54">
        <f>IF(OR(F9=2,F9&gt;2),F10,0)</f>
        <v>0</v>
      </c>
      <c r="H29" s="55">
        <f>IF(I29=0,0,H9)</f>
        <v>0</v>
      </c>
      <c r="I29" s="56">
        <f>IF(OR(H9=2,H9&gt;2),H10,0)</f>
        <v>0</v>
      </c>
      <c r="K29" s="9"/>
    </row>
    <row r="30" spans="1:11" ht="16.5" customHeight="1" x14ac:dyDescent="0.2">
      <c r="A30" s="46" t="s">
        <v>4</v>
      </c>
      <c r="B30" s="53">
        <f>IF(AND(B8&gt;0,B13="да"),0,B8)</f>
        <v>0</v>
      </c>
      <c r="C30" s="54">
        <f>IF(B30=0,0,IF(B10=0,0,IF(B10=1,2*2,IF(B12=0,(B10+1)*2-C31,(B10+1+B12)*2-C31))))</f>
        <v>0</v>
      </c>
      <c r="D30" s="53">
        <f>IF(AND(D8&gt;0,D13="да"),0,D8)</f>
        <v>0</v>
      </c>
      <c r="E30" s="54">
        <f>IF(D30=0,0,IF(D10=0,0,IF(D10=1,2*2,IF(D12=0,(D10+1)*2-E31,(D10+1+D12)*2-E31))))</f>
        <v>0</v>
      </c>
      <c r="F30" s="53">
        <f>IF(AND(F8&gt;0,F13="да"),0,F8)</f>
        <v>0</v>
      </c>
      <c r="G30" s="54">
        <f>IF(F30=0,0,IF(F10=0,0,IF(F10=1,2*2,IF(F12=0,(F10+1)*2-G31,(F10+1+F12)*2-G31))))</f>
        <v>0</v>
      </c>
      <c r="H30" s="55">
        <f>IF(AND(H8&gt;0,H13="да"),0,H8)</f>
        <v>0</v>
      </c>
      <c r="I30" s="56">
        <f>IF(H30=0,0,IF(H10=0,0,IF(H10=1,2*2,IF(H12=0,(H10+1)*2-I31,(H10+1+H12)*2-I31))))</f>
        <v>0</v>
      </c>
    </row>
    <row r="31" spans="1:11" ht="16.5" customHeight="1" x14ac:dyDescent="0.2">
      <c r="A31" s="46" t="s">
        <v>8</v>
      </c>
      <c r="B31" s="53">
        <f>IF(OR(AND(B11=0,B12=0),B13="да"),0,B8)</f>
        <v>0</v>
      </c>
      <c r="C31" s="54">
        <f>IF(B31=0,0,B11*2*2+B12*2)</f>
        <v>0</v>
      </c>
      <c r="D31" s="53">
        <f>IF(OR(AND(D11=0,D12=0),D13="да"),0,D8)</f>
        <v>0</v>
      </c>
      <c r="E31" s="54">
        <f>IF(D31=0,0,D11*2*2+D12*2)</f>
        <v>0</v>
      </c>
      <c r="F31" s="53">
        <f>IF(OR(AND(F11=0,F12=0),F13="да"),0,F8)</f>
        <v>0</v>
      </c>
      <c r="G31" s="54">
        <f>IF(F31=0,0,F11*2*2+F12*2)</f>
        <v>0</v>
      </c>
      <c r="H31" s="55">
        <f>IF(OR(AND(H11=0,H12=0),H13="да"),0,H8)</f>
        <v>0</v>
      </c>
      <c r="I31" s="56">
        <f>IF(H31=0,0,H11*2*2+H12*2)</f>
        <v>0</v>
      </c>
    </row>
    <row r="32" spans="1:11" ht="16.5" customHeight="1" x14ac:dyDescent="0.2">
      <c r="A32" s="46" t="s">
        <v>119</v>
      </c>
      <c r="B32" s="53">
        <f>IF(C32=0,0,B8)</f>
        <v>0</v>
      </c>
      <c r="C32" s="54">
        <f>IF(OR(B9=2.5,B9&gt;2.5),B10*2,IF(B9&lt;2,0,B10*1))</f>
        <v>0</v>
      </c>
      <c r="D32" s="53">
        <f>IF(E32=0,0,D8)</f>
        <v>0</v>
      </c>
      <c r="E32" s="54">
        <f>IF(OR(D9=2.5,D9&gt;2.5),D10*2,IF(D9&lt;2,0,D10*1))</f>
        <v>0</v>
      </c>
      <c r="F32" s="53">
        <f>IF(G32=0,0,F8)</f>
        <v>0</v>
      </c>
      <c r="G32" s="54">
        <f>IF(OR(F9=2.5,F9&gt;2.5),F10*2,IF(F9&lt;2,0,F10*1))</f>
        <v>0</v>
      </c>
      <c r="H32" s="55">
        <f>IF(I32=0,0,H8)</f>
        <v>0</v>
      </c>
      <c r="I32" s="56">
        <f>IF(OR(H9=2.5,H9&gt;2.5),H10*2,IF(H9&lt;2,0,H10*1))</f>
        <v>0</v>
      </c>
    </row>
    <row r="33" spans="1:9" ht="16.5" customHeight="1" x14ac:dyDescent="0.2">
      <c r="A33" s="46" t="s">
        <v>120</v>
      </c>
      <c r="B33" s="53">
        <f>IF(C33=0,0,B8)</f>
        <v>0</v>
      </c>
      <c r="C33" s="54">
        <f>C32</f>
        <v>0</v>
      </c>
      <c r="D33" s="53">
        <f>IF(E33=0,0,D8)</f>
        <v>0</v>
      </c>
      <c r="E33" s="54">
        <f>E32</f>
        <v>0</v>
      </c>
      <c r="F33" s="53">
        <f>IF(G33=0,0,F8)</f>
        <v>0</v>
      </c>
      <c r="G33" s="54">
        <f>G32</f>
        <v>0</v>
      </c>
      <c r="H33" s="55">
        <f>IF(I33=0,0,H8)</f>
        <v>0</v>
      </c>
      <c r="I33" s="56">
        <f>I32</f>
        <v>0</v>
      </c>
    </row>
    <row r="34" spans="1:9" ht="16.5" customHeight="1" x14ac:dyDescent="0.2">
      <c r="A34" s="46" t="s">
        <v>65</v>
      </c>
      <c r="B34" s="53">
        <f>IF(C34=0,0,B8)</f>
        <v>0</v>
      </c>
      <c r="C34" s="54">
        <f>2*B10</f>
        <v>0</v>
      </c>
      <c r="D34" s="53">
        <f>IF(E34=0,0,D8)</f>
        <v>0</v>
      </c>
      <c r="E34" s="54">
        <f>2*D10</f>
        <v>0</v>
      </c>
      <c r="F34" s="53">
        <f>IF(G34=0,0,F8)</f>
        <v>0</v>
      </c>
      <c r="G34" s="54">
        <f>2*F10</f>
        <v>0</v>
      </c>
      <c r="H34" s="55">
        <f>IF(I34=0,0,H8)</f>
        <v>0</v>
      </c>
      <c r="I34" s="56">
        <f>2*H10</f>
        <v>0</v>
      </c>
    </row>
    <row r="35" spans="1:9" ht="16.5" customHeight="1" x14ac:dyDescent="0.2">
      <c r="A35" s="38" t="s">
        <v>83</v>
      </c>
      <c r="B35" s="57" t="s">
        <v>10</v>
      </c>
      <c r="C35" s="54">
        <f>IF(B13="да",0,(IF(B10=0,0,IF(B10=1,2,IF(B12=0,B10+1,B10+1+B12)))))</f>
        <v>0</v>
      </c>
      <c r="D35" s="57" t="s">
        <v>10</v>
      </c>
      <c r="E35" s="54">
        <f>IF(D13="да",0,(IF(D10=0,0,IF(D10=1,2,IF(D12=0,D10+1,D10+1+D12)))))</f>
        <v>0</v>
      </c>
      <c r="F35" s="57" t="s">
        <v>10</v>
      </c>
      <c r="G35" s="54">
        <f>IF(F13="да",0,(IF(F10=0,0,IF(F10=1,2,IF(F12=0,F10+1,F10+1+F12)))))</f>
        <v>0</v>
      </c>
      <c r="H35" s="58" t="s">
        <v>10</v>
      </c>
      <c r="I35" s="56">
        <f>IF(H13="да",0,(IF(H10=0,0,IF(H10=1,2,IF(H12=0,H10+1,H10+1+H12)))))</f>
        <v>0</v>
      </c>
    </row>
    <row r="36" spans="1:9" ht="16.5" customHeight="1" x14ac:dyDescent="0.2">
      <c r="A36" s="39" t="s">
        <v>67</v>
      </c>
      <c r="B36" s="57" t="str">
        <f>IF(C36=0,"-","4,2x16")</f>
        <v>-</v>
      </c>
      <c r="C36" s="54">
        <f>IF(B13="да",0,(C34*5))</f>
        <v>0</v>
      </c>
      <c r="D36" s="57" t="str">
        <f>IF(E36=0,"-","4,2x16")</f>
        <v>-</v>
      </c>
      <c r="E36" s="54">
        <f>IF(D13="да",0,(E34*5))</f>
        <v>0</v>
      </c>
      <c r="F36" s="57" t="str">
        <f>IF(G36=0,"-","4,2x16")</f>
        <v>-</v>
      </c>
      <c r="G36" s="54">
        <f>IF(F13="да",0,(G34*5))</f>
        <v>0</v>
      </c>
      <c r="H36" s="58" t="str">
        <f>IF(I36=0,"-","4,2x16")</f>
        <v>-</v>
      </c>
      <c r="I36" s="56">
        <f>IF(H13="да",0,(I34*5))</f>
        <v>0</v>
      </c>
    </row>
    <row r="37" spans="1:9" ht="16.5" customHeight="1" x14ac:dyDescent="0.2">
      <c r="A37" s="46" t="s">
        <v>13</v>
      </c>
      <c r="B37" s="57" t="str">
        <f>IF(C37=0,"-","4,2x16")</f>
        <v>-</v>
      </c>
      <c r="C37" s="54">
        <f>C22*8+C24*8+C27*4+C28*4+IF(B10&gt;0,C22/B10*C32+C24/B10*C32,0)</f>
        <v>0</v>
      </c>
      <c r="D37" s="57" t="str">
        <f>IF(E37=0,"-","4,2x16")</f>
        <v>-</v>
      </c>
      <c r="E37" s="54">
        <f>E22*8+E24*8+E27*4+E28*4+IF(D10&gt;0,E22/D10*E32+E24/D10*E32,0)</f>
        <v>0</v>
      </c>
      <c r="F37" s="57" t="str">
        <f>IF(G37=0,"-","4,2x16")</f>
        <v>-</v>
      </c>
      <c r="G37" s="54">
        <f>G22*8+G24*8+G27*4+G28*4+IF(F10&gt;0,G22/F10*G32+G24/F10*G32,0)</f>
        <v>0</v>
      </c>
      <c r="H37" s="58" t="str">
        <f>IF(I37=0,"-","4,2x16")</f>
        <v>-</v>
      </c>
      <c r="I37" s="56">
        <f>I22*8+I24*8+I27*4+I28*4+IF(H10&gt;0,I22/H10*I32+I24/H10*I32,0)</f>
        <v>0</v>
      </c>
    </row>
    <row r="38" spans="1:9" ht="16.5" customHeight="1" x14ac:dyDescent="0.2">
      <c r="A38" s="46" t="s">
        <v>177</v>
      </c>
      <c r="B38" s="57" t="str">
        <f>IF(C38=0,"-","7,5x52")</f>
        <v>-</v>
      </c>
      <c r="C38" s="54">
        <f>IF(B$10=0,0,IF(B$13="да",C34*5,0))</f>
        <v>0</v>
      </c>
      <c r="D38" s="57" t="str">
        <f>IF(E38=0,"-","7,5x52")</f>
        <v>-</v>
      </c>
      <c r="E38" s="54">
        <f>IF(D$10=0,0,IF(D$13="да",E34*5,0))</f>
        <v>0</v>
      </c>
      <c r="F38" s="57" t="str">
        <f>IF(G38=0,"-","7,5x52")</f>
        <v>-</v>
      </c>
      <c r="G38" s="54">
        <f>IF(F$10=0,0,IF(F$13="да",G34*5,0))</f>
        <v>0</v>
      </c>
      <c r="H38" s="57" t="str">
        <f>IF(I38=0,"-","7,5x52")</f>
        <v>-</v>
      </c>
      <c r="I38" s="56">
        <f>IF(H$10=0,0,IF(H$13="да",I34*5,0))</f>
        <v>0</v>
      </c>
    </row>
    <row r="39" spans="1:9" ht="16.5" customHeight="1" x14ac:dyDescent="0.2">
      <c r="A39" s="46" t="s">
        <v>52</v>
      </c>
      <c r="B39" s="57"/>
      <c r="C39" s="54">
        <f>C38</f>
        <v>0</v>
      </c>
      <c r="D39" s="57"/>
      <c r="E39" s="54">
        <f>E38</f>
        <v>0</v>
      </c>
      <c r="F39" s="57"/>
      <c r="G39" s="54">
        <f>G38</f>
        <v>0</v>
      </c>
      <c r="H39" s="57"/>
      <c r="I39" s="56">
        <f>I38</f>
        <v>0</v>
      </c>
    </row>
    <row r="40" spans="1:9" ht="16.5" customHeight="1" x14ac:dyDescent="0.2">
      <c r="A40" s="73" t="s">
        <v>15</v>
      </c>
      <c r="B40" s="78"/>
      <c r="C40" s="79"/>
      <c r="D40" s="80"/>
      <c r="E40" s="81"/>
      <c r="F40" s="82"/>
      <c r="G40" s="79"/>
      <c r="H40" s="82"/>
      <c r="I40" s="78"/>
    </row>
    <row r="41" spans="1:9" ht="16.5" customHeight="1" x14ac:dyDescent="0.2">
      <c r="A41" s="46" t="str">
        <f>IF(B14="нет","-",B14)</f>
        <v>-</v>
      </c>
      <c r="B41" s="59"/>
      <c r="C41" s="54">
        <f>IF(B$14=$A41,1,0)</f>
        <v>0</v>
      </c>
      <c r="D41" s="60"/>
      <c r="E41" s="54"/>
      <c r="F41" s="60"/>
      <c r="G41" s="54"/>
      <c r="H41" s="60"/>
      <c r="I41" s="56"/>
    </row>
    <row r="42" spans="1:9" ht="16.5" customHeight="1" x14ac:dyDescent="0.2">
      <c r="A42" s="46" t="str">
        <f>IF(D14="нет","-",D14)</f>
        <v>-</v>
      </c>
      <c r="B42" s="59"/>
      <c r="C42" s="54"/>
      <c r="D42" s="60"/>
      <c r="E42" s="54">
        <f>IF(D$14=$A42,1,0)</f>
        <v>0</v>
      </c>
      <c r="F42" s="60"/>
      <c r="G42" s="54"/>
      <c r="H42" s="60"/>
      <c r="I42" s="56"/>
    </row>
    <row r="43" spans="1:9" ht="16.5" customHeight="1" x14ac:dyDescent="0.2">
      <c r="A43" s="46" t="str">
        <f>IF(F14="нет","-",F14)</f>
        <v>-</v>
      </c>
      <c r="B43" s="59"/>
      <c r="C43" s="54"/>
      <c r="D43" s="60"/>
      <c r="E43" s="54"/>
      <c r="F43" s="60"/>
      <c r="G43" s="54">
        <f>IF(F$14=$A43,1,0)</f>
        <v>0</v>
      </c>
      <c r="H43" s="60"/>
      <c r="I43" s="56"/>
    </row>
    <row r="44" spans="1:9" ht="16.5" customHeight="1" x14ac:dyDescent="0.2">
      <c r="A44" s="46" t="str">
        <f>IF(H14="нет","-",H14)</f>
        <v>-</v>
      </c>
      <c r="B44" s="59"/>
      <c r="C44" s="54"/>
      <c r="D44" s="60"/>
      <c r="E44" s="54"/>
      <c r="F44" s="60"/>
      <c r="G44" s="54"/>
      <c r="H44" s="60"/>
      <c r="I44" s="56">
        <f>IF(H$14=$A44,1,0)</f>
        <v>0</v>
      </c>
    </row>
    <row r="45" spans="1:9" ht="16.5" customHeight="1" x14ac:dyDescent="0.2">
      <c r="A45" s="73" t="s">
        <v>18</v>
      </c>
      <c r="B45" s="78"/>
      <c r="C45" s="79"/>
      <c r="D45" s="80"/>
      <c r="E45" s="79"/>
      <c r="F45" s="82"/>
      <c r="G45" s="79"/>
      <c r="H45" s="82"/>
      <c r="I45" s="78"/>
    </row>
    <row r="46" spans="1:9" ht="16.5" customHeight="1" x14ac:dyDescent="0.2">
      <c r="A46" s="46" t="str">
        <f>IF(B15="нет","-",B15)</f>
        <v>-</v>
      </c>
      <c r="B46" s="59"/>
      <c r="C46" s="54">
        <f>IF(B$15=$A46,1,0)</f>
        <v>0</v>
      </c>
      <c r="D46" s="60"/>
      <c r="E46" s="54"/>
      <c r="F46" s="60"/>
      <c r="G46" s="54"/>
      <c r="H46" s="60"/>
      <c r="I46" s="56"/>
    </row>
    <row r="47" spans="1:9" ht="16.5" customHeight="1" x14ac:dyDescent="0.2">
      <c r="A47" s="46" t="str">
        <f>IF(D15="нет","-",D15)</f>
        <v>-</v>
      </c>
      <c r="B47" s="59"/>
      <c r="C47" s="54"/>
      <c r="D47" s="60"/>
      <c r="E47" s="54">
        <f t="shared" ref="E47" si="2">IF(D$15=$A47,1,0)</f>
        <v>0</v>
      </c>
      <c r="F47" s="60"/>
      <c r="G47" s="54"/>
      <c r="H47" s="60"/>
      <c r="I47" s="56"/>
    </row>
    <row r="48" spans="1:9" ht="16.5" customHeight="1" x14ac:dyDescent="0.2">
      <c r="A48" s="46" t="str">
        <f>IF(F15="нет","-",F15)</f>
        <v>-</v>
      </c>
      <c r="B48" s="59"/>
      <c r="C48" s="54"/>
      <c r="D48" s="60"/>
      <c r="E48" s="54"/>
      <c r="F48" s="60"/>
      <c r="G48" s="54">
        <f t="shared" ref="G48" si="3">IF(F$15=$A48,1,0)</f>
        <v>0</v>
      </c>
      <c r="H48" s="60"/>
      <c r="I48" s="56"/>
    </row>
    <row r="49" spans="1:11" ht="16.5" customHeight="1" x14ac:dyDescent="0.2">
      <c r="A49" s="46" t="str">
        <f>IF(H15="нет","-",H15)</f>
        <v>-</v>
      </c>
      <c r="B49" s="59"/>
      <c r="C49" s="54"/>
      <c r="D49" s="60"/>
      <c r="E49" s="54"/>
      <c r="F49" s="60"/>
      <c r="G49" s="54"/>
      <c r="H49" s="60"/>
      <c r="I49" s="56">
        <f t="shared" ref="I49" si="4">IF(H$15=$A49,1,0)</f>
        <v>0</v>
      </c>
      <c r="K49" s="9"/>
    </row>
    <row r="50" spans="1:11" ht="16.5" customHeight="1" x14ac:dyDescent="0.2">
      <c r="A50" s="73" t="s">
        <v>39</v>
      </c>
      <c r="B50" s="78"/>
      <c r="C50" s="79"/>
      <c r="D50" s="83"/>
      <c r="E50" s="84"/>
      <c r="F50" s="82"/>
      <c r="G50" s="79"/>
      <c r="H50" s="82"/>
      <c r="I50" s="78"/>
      <c r="K50" s="11"/>
    </row>
    <row r="51" spans="1:11" ht="16.5" customHeight="1" x14ac:dyDescent="0.2">
      <c r="A51" s="46" t="s">
        <v>59</v>
      </c>
      <c r="B51" s="53" t="str">
        <f>IF($B$6="ламель 125",VLOOKUP(B$14,Данные!$A$135:$V$138,2,FALSE),0)</f>
        <v>-</v>
      </c>
      <c r="C51" s="61">
        <f>IF($B$6="ламель 125",VLOOKUP(B$14,Данные!$A$135:$V$138,3,FALSE),0)</f>
        <v>0</v>
      </c>
      <c r="D51" s="53" t="str">
        <f>IF($B$6="ламель 125",VLOOKUP(D$14,Данные!$A$135:$V$138,2,FALSE),0)</f>
        <v>-</v>
      </c>
      <c r="E51" s="61">
        <f>IF($B$6="ламель 125",VLOOKUP(D$14,Данные!$A$135:$V$138,3,FALSE),0)</f>
        <v>0</v>
      </c>
      <c r="F51" s="53" t="str">
        <f>IF($B$6="ламель 125",VLOOKUP(F$14,Данные!$A$135:$V$138,2,FALSE),0)</f>
        <v>-</v>
      </c>
      <c r="G51" s="61">
        <f>IF($B$6="ламель 125",VLOOKUP(F$14,Данные!$A$135:$V$138,3,FALSE),0)</f>
        <v>0</v>
      </c>
      <c r="H51" s="53" t="str">
        <f>IF($B$6="ламель 125",VLOOKUP(H$14,Данные!$A$135:$V$138,2,FALSE),0)</f>
        <v>-</v>
      </c>
      <c r="I51" s="53">
        <f>IF($B$6="ламель 125",VLOOKUP(H$14,Данные!$A$135:$V$138,3,FALSE),0)</f>
        <v>0</v>
      </c>
      <c r="K51" s="11"/>
    </row>
    <row r="52" spans="1:11" ht="16.5" customHeight="1" x14ac:dyDescent="0.2">
      <c r="A52" s="46" t="s">
        <v>60</v>
      </c>
      <c r="B52" s="53" t="str">
        <f t="shared" ref="B52:I52" si="5">B51</f>
        <v>-</v>
      </c>
      <c r="C52" s="61">
        <f t="shared" si="5"/>
        <v>0</v>
      </c>
      <c r="D52" s="53" t="str">
        <f t="shared" si="5"/>
        <v>-</v>
      </c>
      <c r="E52" s="61">
        <f t="shared" si="5"/>
        <v>0</v>
      </c>
      <c r="F52" s="53" t="str">
        <f t="shared" si="5"/>
        <v>-</v>
      </c>
      <c r="G52" s="61">
        <f t="shared" si="5"/>
        <v>0</v>
      </c>
      <c r="H52" s="53" t="str">
        <f t="shared" si="5"/>
        <v>-</v>
      </c>
      <c r="I52" s="53">
        <f t="shared" si="5"/>
        <v>0</v>
      </c>
      <c r="K52" s="11"/>
    </row>
    <row r="53" spans="1:11" ht="16.5" customHeight="1" x14ac:dyDescent="0.2">
      <c r="A53" s="46" t="s">
        <v>192</v>
      </c>
      <c r="B53" s="53" t="str">
        <f>IF($B$6="ламель 125",VLOOKUP(B$14,Данные!$A$135:$V$138,4,FALSE),0)</f>
        <v>-</v>
      </c>
      <c r="C53" s="61">
        <f>IF($B$6="ламель 125",VLOOKUP(B$14,Данные!$A$135:$V$138,5,FALSE),0)</f>
        <v>0</v>
      </c>
      <c r="D53" s="53" t="str">
        <f>IF($B$6="ламель 125",VLOOKUP(D$14,Данные!$A$135:$V$138,4,FALSE),0)</f>
        <v>-</v>
      </c>
      <c r="E53" s="61">
        <f>IF($B$6="ламель 125",VLOOKUP(D$14,Данные!$A$135:$V$138,5,FALSE),0)</f>
        <v>0</v>
      </c>
      <c r="F53" s="53" t="str">
        <f>IF($B$6="ламель 125",VLOOKUP(F$14,Данные!$A$135:$V$138,4,FALSE),0)</f>
        <v>-</v>
      </c>
      <c r="G53" s="61">
        <f>IF($B$6="ламель 125",VLOOKUP(F$14,Данные!$A$135:$V$138,5,FALSE),0)</f>
        <v>0</v>
      </c>
      <c r="H53" s="53" t="str">
        <f>IF($B$6="ламель 125",VLOOKUP(H$14,Данные!$A$135:$V$138,4,FALSE),0)</f>
        <v>-</v>
      </c>
      <c r="I53" s="53">
        <f>IF($B$6="ламель 125",VLOOKUP(H$14,Данные!$A$135:$V$138,5,FALSE),0)</f>
        <v>0</v>
      </c>
      <c r="K53" s="11"/>
    </row>
    <row r="54" spans="1:11" ht="16.5" customHeight="1" x14ac:dyDescent="0.2">
      <c r="A54" s="46" t="s">
        <v>193</v>
      </c>
      <c r="B54" s="53" t="str">
        <f t="shared" ref="B54:I54" si="6">B53</f>
        <v>-</v>
      </c>
      <c r="C54" s="61">
        <f t="shared" si="6"/>
        <v>0</v>
      </c>
      <c r="D54" s="53" t="str">
        <f t="shared" si="6"/>
        <v>-</v>
      </c>
      <c r="E54" s="61">
        <f t="shared" si="6"/>
        <v>0</v>
      </c>
      <c r="F54" s="53" t="str">
        <f t="shared" si="6"/>
        <v>-</v>
      </c>
      <c r="G54" s="61">
        <f t="shared" si="6"/>
        <v>0</v>
      </c>
      <c r="H54" s="53" t="str">
        <f t="shared" si="6"/>
        <v>-</v>
      </c>
      <c r="I54" s="53">
        <f t="shared" si="6"/>
        <v>0</v>
      </c>
      <c r="K54" s="11"/>
    </row>
    <row r="55" spans="1:11" ht="16.5" customHeight="1" x14ac:dyDescent="0.2">
      <c r="A55" s="46" t="s">
        <v>61</v>
      </c>
      <c r="B55" s="53">
        <f>IF($B$6="ламель 150",VLOOKUP(B$14,Данные!$A$135:$V$138,6,FALSE),0)</f>
        <v>0</v>
      </c>
      <c r="C55" s="61">
        <f>IF($B$6="ламель 150",VLOOKUP(B$14,Данные!$A$135:$V$138,7,FALSE),0)</f>
        <v>0</v>
      </c>
      <c r="D55" s="53">
        <f>IF($B$6="ламель 150",VLOOKUP(D$14,Данные!$A$135:$V$138,6,FALSE),0)</f>
        <v>0</v>
      </c>
      <c r="E55" s="61">
        <f>IF($B$6="ламель 150",VLOOKUP(D$14,Данные!$A$135:$V$138,7,FALSE),0)</f>
        <v>0</v>
      </c>
      <c r="F55" s="53">
        <f>IF($B$6="ламель 150",VLOOKUP(F$14,Данные!$A$135:$V$138,6,FALSE),0)</f>
        <v>0</v>
      </c>
      <c r="G55" s="61">
        <f>IF($B$6="ламель 150",VLOOKUP(F$14,Данные!$A$135:$V$138,7,FALSE),0)</f>
        <v>0</v>
      </c>
      <c r="H55" s="53">
        <f>IF($B$6="ламель 150",VLOOKUP(H$14,Данные!$A$135:$V$138,6,FALSE),0)</f>
        <v>0</v>
      </c>
      <c r="I55" s="53">
        <f>IF($B$6="ламель 150",VLOOKUP(H$14,Данные!$A$135:$V$138,7,FALSE),0)</f>
        <v>0</v>
      </c>
      <c r="K55" s="11"/>
    </row>
    <row r="56" spans="1:11" ht="16.5" customHeight="1" x14ac:dyDescent="0.2">
      <c r="A56" s="46" t="s">
        <v>62</v>
      </c>
      <c r="B56" s="53">
        <f t="shared" ref="B56:I56" si="7">B55</f>
        <v>0</v>
      </c>
      <c r="C56" s="61">
        <f t="shared" si="7"/>
        <v>0</v>
      </c>
      <c r="D56" s="53">
        <f t="shared" si="7"/>
        <v>0</v>
      </c>
      <c r="E56" s="61">
        <f t="shared" si="7"/>
        <v>0</v>
      </c>
      <c r="F56" s="53">
        <f t="shared" si="7"/>
        <v>0</v>
      </c>
      <c r="G56" s="61">
        <f t="shared" si="7"/>
        <v>0</v>
      </c>
      <c r="H56" s="53">
        <f t="shared" si="7"/>
        <v>0</v>
      </c>
      <c r="I56" s="53">
        <f t="shared" si="7"/>
        <v>0</v>
      </c>
      <c r="K56" s="11"/>
    </row>
    <row r="57" spans="1:11" ht="16.5" customHeight="1" x14ac:dyDescent="0.2">
      <c r="A57" s="46" t="s">
        <v>207</v>
      </c>
      <c r="B57" s="53">
        <f>IF($B$6="ламель 150",VLOOKUP(B$14,Данные!$A$135:$V$138,8,FALSE),0)</f>
        <v>0</v>
      </c>
      <c r="C57" s="61">
        <f>IF($B$6="ламель 150",VLOOKUP(B$14,Данные!$A$135:$V$138,9,FALSE),0)</f>
        <v>0</v>
      </c>
      <c r="D57" s="53">
        <f>IF($B$6="ламель 150",VLOOKUP(D$14,Данные!$A$135:$V$138,8,FALSE),0)</f>
        <v>0</v>
      </c>
      <c r="E57" s="61">
        <f>IF($B$6="ламель 150",VLOOKUP(D$14,Данные!$A$135:$V$138,9,FALSE),0)</f>
        <v>0</v>
      </c>
      <c r="F57" s="53">
        <f>IF($B$6="ламель 150",VLOOKUP(F$14,Данные!$A$135:$V$138,8,FALSE),0)</f>
        <v>0</v>
      </c>
      <c r="G57" s="61">
        <f>IF($B$6="ламель 150",VLOOKUP(F$14,Данные!$A$135:$V$138,9,FALSE),0)</f>
        <v>0</v>
      </c>
      <c r="H57" s="53">
        <f>IF($B$6="ламель 150",VLOOKUP(H$14,Данные!$A$135:$V$138,8,FALSE),0)</f>
        <v>0</v>
      </c>
      <c r="I57" s="53">
        <f>IF($B$6="ламель 150",VLOOKUP(H$14,Данные!$A$135:$V$138,9,FALSE),0)</f>
        <v>0</v>
      </c>
      <c r="K57" s="11"/>
    </row>
    <row r="58" spans="1:11" ht="16.5" customHeight="1" x14ac:dyDescent="0.2">
      <c r="A58" s="46" t="s">
        <v>208</v>
      </c>
      <c r="B58" s="53">
        <f t="shared" ref="B58:I58" si="8">B57</f>
        <v>0</v>
      </c>
      <c r="C58" s="61">
        <f t="shared" si="8"/>
        <v>0</v>
      </c>
      <c r="D58" s="53">
        <f t="shared" si="8"/>
        <v>0</v>
      </c>
      <c r="E58" s="61">
        <f t="shared" si="8"/>
        <v>0</v>
      </c>
      <c r="F58" s="53">
        <f t="shared" si="8"/>
        <v>0</v>
      </c>
      <c r="G58" s="61">
        <f t="shared" si="8"/>
        <v>0</v>
      </c>
      <c r="H58" s="53">
        <f t="shared" si="8"/>
        <v>0</v>
      </c>
      <c r="I58" s="53">
        <f t="shared" si="8"/>
        <v>0</v>
      </c>
      <c r="K58" s="11"/>
    </row>
    <row r="59" spans="1:11" ht="16.5" customHeight="1" x14ac:dyDescent="0.2">
      <c r="A59" s="46" t="s">
        <v>63</v>
      </c>
      <c r="B59" s="53" t="str">
        <f>IF($B$6="ламель 125",VLOOKUP(B$14,Данные!$A$135:$V$138,12,FALSE),0)</f>
        <v>-</v>
      </c>
      <c r="C59" s="61">
        <f>IF(AND($B$6="ламель 125",NOT(B$14="нет")),1,0)</f>
        <v>0</v>
      </c>
      <c r="D59" s="53" t="str">
        <f>IF($B$6="ламель 125",VLOOKUP(D$14,Данные!$A$135:$V$138,12,FALSE),0)</f>
        <v>-</v>
      </c>
      <c r="E59" s="61">
        <f>IF(AND($B$6="ламель 125",NOT(D$14="нет")),1,0)</f>
        <v>0</v>
      </c>
      <c r="F59" s="53" t="str">
        <f>IF($B$6="ламель 125",VLOOKUP(F$14,Данные!$A$135:$V$138,12,FALSE),0)</f>
        <v>-</v>
      </c>
      <c r="G59" s="61">
        <f>IF(AND($B$6="ламель 125",NOT(F$14="нет")),1,0)</f>
        <v>0</v>
      </c>
      <c r="H59" s="53" t="str">
        <f>IF($B$6="ламель 125",VLOOKUP(H$14,Данные!$A$135:$V$138,12,FALSE),0)</f>
        <v>-</v>
      </c>
      <c r="I59" s="53">
        <f>IF(AND($B$6="ламель 125",NOT(H$14="нет")),1,0)</f>
        <v>0</v>
      </c>
      <c r="K59" s="11"/>
    </row>
    <row r="60" spans="1:11" ht="16.5" customHeight="1" x14ac:dyDescent="0.2">
      <c r="A60" s="46" t="s">
        <v>64</v>
      </c>
      <c r="B60" s="53">
        <f>IF($B$6="ламель 150",VLOOKUP(B$14,Данные!$A$135:$V$138,13,FALSE),0)</f>
        <v>0</v>
      </c>
      <c r="C60" s="61">
        <f>IF(AND($B$6="ламель 150",NOT(B$14="нет")),1,0)</f>
        <v>0</v>
      </c>
      <c r="D60" s="53">
        <f>IF($B$6="ламель 150",VLOOKUP(D$14,Данные!$A$135:$V$138,13,FALSE),0)</f>
        <v>0</v>
      </c>
      <c r="E60" s="61">
        <f>IF(AND($B$6="ламель 150",NOT(D$14="нет")),1,0)</f>
        <v>0</v>
      </c>
      <c r="F60" s="53">
        <f>IF($B$6="ламель 150",VLOOKUP(F$14,Данные!$A$135:$V$138,13,FALSE),0)</f>
        <v>0</v>
      </c>
      <c r="G60" s="61">
        <f>IF(AND($B$6="ламель 150",NOT(F$14="нет")),1,0)</f>
        <v>0</v>
      </c>
      <c r="H60" s="53">
        <f>IF($B$6="ламель 150",VLOOKUP(H$14,Данные!$A$135:$V$138,13,FALSE),0)</f>
        <v>0</v>
      </c>
      <c r="I60" s="53">
        <f>IF(AND($B$6="ламель 150",NOT(H$14="нет")),1,0)</f>
        <v>0</v>
      </c>
      <c r="K60" s="11"/>
    </row>
    <row r="61" spans="1:11" ht="16.5" customHeight="1" x14ac:dyDescent="0.2">
      <c r="A61" s="46" t="s">
        <v>77</v>
      </c>
      <c r="B61" s="53" t="str">
        <f>IF($B$6="ламель 125",VLOOKUP(B$14,Данные!$A$135:$V$138,10,FALSE),VLOOKUP(B$14,Данные!$A$135:$V$138,11,FALSE))</f>
        <v>-</v>
      </c>
      <c r="C61" s="61">
        <f>IF(NOT(B$14="нет"),2,0)</f>
        <v>0</v>
      </c>
      <c r="D61" s="53" t="str">
        <f>IF($B$6="ламель 125",VLOOKUP(D$14,Данные!$A$135:$V$138,10,FALSE),VLOOKUP(D$14,Данные!$A$135:$V$138,11,FALSE))</f>
        <v>-</v>
      </c>
      <c r="E61" s="61">
        <f>IF(NOT(D$14="нет"),2,0)</f>
        <v>0</v>
      </c>
      <c r="F61" s="53" t="str">
        <f>IF($B$6="ламель 125",VLOOKUP(F$14,Данные!$A$135:$V$138,10,FALSE),VLOOKUP(F$14,Данные!$A$135:$V$138,11,FALSE))</f>
        <v>-</v>
      </c>
      <c r="G61" s="61">
        <f>IF(NOT(F$14="нет"),2,0)</f>
        <v>0</v>
      </c>
      <c r="H61" s="53" t="str">
        <f>IF($B$6="ламель 125",VLOOKUP(H$14,Данные!$A$135:$V$138,10,FALSE),VLOOKUP(H$14,Данные!$A$135:$V$138,11,FALSE))</f>
        <v>-</v>
      </c>
      <c r="I61" s="53">
        <f>IF(NOT(H$14="нет"),2,0)</f>
        <v>0</v>
      </c>
      <c r="K61" s="11"/>
    </row>
    <row r="62" spans="1:11" ht="16.5" customHeight="1" x14ac:dyDescent="0.2">
      <c r="A62" s="46" t="s">
        <v>87</v>
      </c>
      <c r="B62" s="53" t="s">
        <v>10</v>
      </c>
      <c r="C62" s="61">
        <f>IF($B$6="ламель 125",VLOOKUP(B$14,Данные!$A$135:$V$138,17,FALSE),0)</f>
        <v>0</v>
      </c>
      <c r="D62" s="53" t="s">
        <v>10</v>
      </c>
      <c r="E62" s="61">
        <f>IF($B$6="ламель 125",VLOOKUP(D$14,Данные!$A$135:$V$138,17,FALSE),0)</f>
        <v>0</v>
      </c>
      <c r="F62" s="53" t="s">
        <v>10</v>
      </c>
      <c r="G62" s="61">
        <f>IF($B$6="ламель 125",VLOOKUP(F$14,Данные!$A$135:$V$138,17,FALSE),0)</f>
        <v>0</v>
      </c>
      <c r="H62" s="53" t="s">
        <v>10</v>
      </c>
      <c r="I62" s="53">
        <f>IF($B$6="ламель 125",VLOOKUP(H$14,Данные!$A$135:$V$138,17,FALSE),0)</f>
        <v>0</v>
      </c>
      <c r="K62" s="11"/>
    </row>
    <row r="63" spans="1:11" ht="16.5" customHeight="1" x14ac:dyDescent="0.2">
      <c r="A63" s="46" t="s">
        <v>88</v>
      </c>
      <c r="B63" s="53" t="s">
        <v>10</v>
      </c>
      <c r="C63" s="61">
        <f>IF($B$6="ламель 125",VLOOKUP(B$14,Данные!$A$135:$V$138,18,FALSE),0)</f>
        <v>0</v>
      </c>
      <c r="D63" s="53" t="s">
        <v>10</v>
      </c>
      <c r="E63" s="61">
        <f>IF($B$6="ламель 125",VLOOKUP(D$14,Данные!$A$135:$V$138,18,FALSE),0)</f>
        <v>0</v>
      </c>
      <c r="F63" s="53" t="s">
        <v>10</v>
      </c>
      <c r="G63" s="61">
        <f>IF($B$6="ламель 125",VLOOKUP(F$14,Данные!$A$135:$V$138,18,FALSE),0)</f>
        <v>0</v>
      </c>
      <c r="H63" s="53" t="s">
        <v>10</v>
      </c>
      <c r="I63" s="53">
        <f>IF($B$6="ламель 125",VLOOKUP(H$14,Данные!$A$135:$V$138,18,FALSE),0)</f>
        <v>0</v>
      </c>
      <c r="K63" s="11"/>
    </row>
    <row r="64" spans="1:11" ht="16.5" customHeight="1" x14ac:dyDescent="0.2">
      <c r="A64" s="46" t="s">
        <v>89</v>
      </c>
      <c r="B64" s="53" t="s">
        <v>10</v>
      </c>
      <c r="C64" s="61">
        <f>IF($B$6="ламель 125",VLOOKUP(B$14,Данные!$A$135:$V$138,19,FALSE),0)</f>
        <v>0</v>
      </c>
      <c r="D64" s="53" t="s">
        <v>10</v>
      </c>
      <c r="E64" s="61">
        <f>IF($B$6="ламель 125",VLOOKUP(D$14,Данные!$A$135:$V$138,19,FALSE),0)</f>
        <v>0</v>
      </c>
      <c r="F64" s="53" t="s">
        <v>10</v>
      </c>
      <c r="G64" s="61">
        <f>IF($B$6="ламель 125",VLOOKUP(F$14,Данные!$A$135:$V$138,19,FALSE),0)</f>
        <v>0</v>
      </c>
      <c r="H64" s="53" t="s">
        <v>10</v>
      </c>
      <c r="I64" s="53">
        <f>IF($B$6="ламель 125",VLOOKUP(H$14,Данные!$A$135:$V$138,19,FALSE),0)</f>
        <v>0</v>
      </c>
      <c r="K64" s="11"/>
    </row>
    <row r="65" spans="1:11" ht="16.5" customHeight="1" x14ac:dyDescent="0.2">
      <c r="A65" s="46" t="s">
        <v>90</v>
      </c>
      <c r="B65" s="53" t="s">
        <v>10</v>
      </c>
      <c r="C65" s="61">
        <f>IF($B$6="ламель 150",VLOOKUP(B$14,Данные!$A$135:$V$138,20,FALSE),0)</f>
        <v>0</v>
      </c>
      <c r="D65" s="53" t="s">
        <v>10</v>
      </c>
      <c r="E65" s="61">
        <f>IF($B$6="ламель 150",VLOOKUP(D$14,Данные!$A$135:$V$138,20,FALSE),0)</f>
        <v>0</v>
      </c>
      <c r="F65" s="53" t="s">
        <v>10</v>
      </c>
      <c r="G65" s="61">
        <f>IF($B$6="ламель 150",VLOOKUP(F$14,Данные!$A$135:$V$138,20,FALSE),0)</f>
        <v>0</v>
      </c>
      <c r="H65" s="53" t="s">
        <v>10</v>
      </c>
      <c r="I65" s="53">
        <f>IF($B$6="ламель 150",VLOOKUP(H$14,Данные!$A$135:$V$138,20,FALSE),0)</f>
        <v>0</v>
      </c>
      <c r="K65" s="11"/>
    </row>
    <row r="66" spans="1:11" ht="16.5" customHeight="1" x14ac:dyDescent="0.2">
      <c r="A66" s="46" t="s">
        <v>91</v>
      </c>
      <c r="B66" s="53" t="s">
        <v>10</v>
      </c>
      <c r="C66" s="61">
        <f>IF($B$6="ламель 150",VLOOKUP(B$14,Данные!$A$135:$V$138,21,FALSE),0)</f>
        <v>0</v>
      </c>
      <c r="D66" s="53" t="s">
        <v>10</v>
      </c>
      <c r="E66" s="61">
        <f>IF($B$6="ламель 150",VLOOKUP(D$14,Данные!$A$135:$V$138,21,FALSE),0)</f>
        <v>0</v>
      </c>
      <c r="F66" s="53" t="s">
        <v>10</v>
      </c>
      <c r="G66" s="61">
        <f>IF($B$6="ламель 150",VLOOKUP(F$14,Данные!$A$135:$V$138,21,FALSE),0)</f>
        <v>0</v>
      </c>
      <c r="H66" s="53" t="s">
        <v>10</v>
      </c>
      <c r="I66" s="53">
        <f>IF($B$6="ламель 150",VLOOKUP(H$14,Данные!$A$135:$V$138,21,FALSE),0)</f>
        <v>0</v>
      </c>
      <c r="K66" s="11"/>
    </row>
    <row r="67" spans="1:11" ht="16.5" customHeight="1" x14ac:dyDescent="0.2">
      <c r="A67" s="46" t="s">
        <v>92</v>
      </c>
      <c r="B67" s="53" t="s">
        <v>10</v>
      </c>
      <c r="C67" s="61">
        <f>IF($B$6="ламель 150",VLOOKUP(B$14,Данные!$A$135:$V$138,22,FALSE),0)</f>
        <v>0</v>
      </c>
      <c r="D67" s="53" t="s">
        <v>10</v>
      </c>
      <c r="E67" s="61">
        <f>IF($B$6="ламель 150",VLOOKUP(D$14,Данные!$A$135:$V$138,22,FALSE),0)</f>
        <v>0</v>
      </c>
      <c r="F67" s="53" t="s">
        <v>10</v>
      </c>
      <c r="G67" s="61">
        <f>IF($B$6="ламель 150",VLOOKUP(F$14,Данные!$A$135:$V$138,22,FALSE),0)</f>
        <v>0</v>
      </c>
      <c r="H67" s="53" t="s">
        <v>10</v>
      </c>
      <c r="I67" s="53">
        <f>IF($B$6="ламель 150",VLOOKUP(H$14,Данные!$A$135:$V$138,22,FALSE),0)</f>
        <v>0</v>
      </c>
      <c r="K67" s="11"/>
    </row>
    <row r="68" spans="1:11" ht="16.5" customHeight="1" x14ac:dyDescent="0.2">
      <c r="A68" s="46" t="s">
        <v>153</v>
      </c>
      <c r="B68" s="57" t="str">
        <f>IF(C68=0,"-","4,0х10")</f>
        <v>-</v>
      </c>
      <c r="C68" s="61">
        <f>IF($B$6="ламель 125",VLOOKUP(B$14,Данные!$A$135:$V$138,14,FALSE),VLOOKUP(B$14,Данные!$A$135:$V$138,15,FALSE))</f>
        <v>0</v>
      </c>
      <c r="D68" s="57" t="str">
        <f>IF(E68=0,"-","4,0х10")</f>
        <v>-</v>
      </c>
      <c r="E68" s="61">
        <f>IF($B$6="ламель 125",VLOOKUP(D$14,Данные!$A$135:$V$138,14,FALSE),VLOOKUP(D$14,Данные!$A$135:$V$138,15,FALSE))</f>
        <v>0</v>
      </c>
      <c r="F68" s="57" t="str">
        <f>IF(G68=0,"-","4,0х10")</f>
        <v>-</v>
      </c>
      <c r="G68" s="61">
        <f>IF($B$6="ламель 125",VLOOKUP(F$14,Данные!$A$135:$V$138,14,FALSE),VLOOKUP(F$14,Данные!$A$135:$V$138,15,FALSE))</f>
        <v>0</v>
      </c>
      <c r="H68" s="57" t="str">
        <f>IF(I68=0,"-","4,0х10")</f>
        <v>-</v>
      </c>
      <c r="I68" s="53">
        <f>IF($B$6="ламель 125",VLOOKUP(H$14,Данные!$A$135:$V$138,14,FALSE),VLOOKUP(H$14,Данные!$A$135:$V$138,15,FALSE))</f>
        <v>0</v>
      </c>
      <c r="K68" s="11"/>
    </row>
    <row r="69" spans="1:11" ht="16.5" customHeight="1" x14ac:dyDescent="0.2">
      <c r="A69" s="39" t="s">
        <v>67</v>
      </c>
      <c r="B69" s="57" t="str">
        <f>IF(C69=0,"-","4,2x16")</f>
        <v>-</v>
      </c>
      <c r="C69" s="61">
        <f>VLOOKUP(B$14,Данные!$A$135:$V$138,16,FALSE)</f>
        <v>0</v>
      </c>
      <c r="D69" s="57" t="str">
        <f>IF(E69=0,"-","4,2x16")</f>
        <v>-</v>
      </c>
      <c r="E69" s="61">
        <f>VLOOKUP(D$14,Данные!$A$135:$V$138,16,FALSE)</f>
        <v>0</v>
      </c>
      <c r="F69" s="57" t="str">
        <f>IF(G69=0,"-","4,2x16")</f>
        <v>-</v>
      </c>
      <c r="G69" s="61">
        <f>VLOOKUP(F$14,Данные!$A$135:$V$138,16,FALSE)</f>
        <v>0</v>
      </c>
      <c r="H69" s="57" t="str">
        <f>IF(I69=0,"-","4,2x16")</f>
        <v>-</v>
      </c>
      <c r="I69" s="53">
        <f>VLOOKUP(H$14,Данные!$A$135:$V$138,16,FALSE)</f>
        <v>0</v>
      </c>
      <c r="K69" s="11"/>
    </row>
    <row r="70" spans="1:11" ht="16.5" customHeight="1" x14ac:dyDescent="0.2">
      <c r="A70" s="73" t="s">
        <v>49</v>
      </c>
      <c r="B70" s="78"/>
      <c r="C70" s="79"/>
      <c r="D70" s="82"/>
      <c r="E70" s="79"/>
      <c r="F70" s="82"/>
      <c r="G70" s="79"/>
      <c r="H70" s="82"/>
      <c r="I70" s="78"/>
      <c r="K70" s="11"/>
    </row>
    <row r="71" spans="1:11" ht="16.5" customHeight="1" x14ac:dyDescent="0.2">
      <c r="A71" s="46" t="s">
        <v>281</v>
      </c>
      <c r="B71" s="53" t="str">
        <f>IF($B$6="ламель 125",VLOOKUP(B$15,Данные!$A$143:$AL$170,2,FALSE),0)</f>
        <v>-</v>
      </c>
      <c r="C71" s="61">
        <f>IF($B$6="ламель 125",VLOOKUP(B$15,Данные!$A$143:$AL$170,3,FALSE),0)</f>
        <v>0</v>
      </c>
      <c r="D71" s="53" t="str">
        <f>IF($B$6="ламель 125",VLOOKUP(D$15,Данные!$A$143:$AL$170,2,FALSE),0)</f>
        <v>-</v>
      </c>
      <c r="E71" s="61">
        <f>IF($B$6="ламель 125",VLOOKUP(D$15,Данные!$A$143:$AL$170,3,FALSE),0)</f>
        <v>0</v>
      </c>
      <c r="F71" s="53" t="str">
        <f>IF($B$6="ламель 125",VLOOKUP(F$15,Данные!$A$143:$AL$170,2,FALSE),0)</f>
        <v>-</v>
      </c>
      <c r="G71" s="61">
        <f>IF($B$6="ламель 125",VLOOKUP(F$15,Данные!$A$143:$AL$170,3,FALSE),0)</f>
        <v>0</v>
      </c>
      <c r="H71" s="53" t="str">
        <f>IF($B$6="ламель 125",VLOOKUP(H$15,Данные!$A$143:$AL$170,2,FALSE),0)</f>
        <v>-</v>
      </c>
      <c r="I71" s="53">
        <f>IF($B$6="ламель 125",VLOOKUP(H$15,Данные!$A$143:$AL$170,3,FALSE),0)</f>
        <v>0</v>
      </c>
      <c r="K71" s="11"/>
    </row>
    <row r="72" spans="1:11" ht="16.5" customHeight="1" x14ac:dyDescent="0.2">
      <c r="A72" s="46" t="s">
        <v>282</v>
      </c>
      <c r="B72" s="53" t="str">
        <f t="shared" ref="B72:B74" si="9">B71</f>
        <v>-</v>
      </c>
      <c r="C72" s="61">
        <f>C71</f>
        <v>0</v>
      </c>
      <c r="D72" s="53" t="str">
        <f t="shared" ref="D72" si="10">D71</f>
        <v>-</v>
      </c>
      <c r="E72" s="61">
        <f>E71</f>
        <v>0</v>
      </c>
      <c r="F72" s="53" t="str">
        <f t="shared" ref="F72" si="11">F71</f>
        <v>-</v>
      </c>
      <c r="G72" s="61">
        <f>G71</f>
        <v>0</v>
      </c>
      <c r="H72" s="53" t="str">
        <f t="shared" ref="H72" si="12">H71</f>
        <v>-</v>
      </c>
      <c r="I72" s="53">
        <f>I71</f>
        <v>0</v>
      </c>
      <c r="K72" s="11"/>
    </row>
    <row r="73" spans="1:11" ht="16.5" customHeight="1" x14ac:dyDescent="0.2">
      <c r="A73" s="46" t="s">
        <v>279</v>
      </c>
      <c r="B73" s="53" t="str">
        <f>IF($B$6="ламель 125",VLOOKUP(B$15,Данные!$A$143:$AL$170,31,FALSE),0)</f>
        <v>-</v>
      </c>
      <c r="C73" s="61">
        <f>IF($B$6="ламель 125",VLOOKUP(B$15,Данные!$A$143:$AL$170,32,FALSE),0)</f>
        <v>0</v>
      </c>
      <c r="D73" s="53" t="str">
        <f>IF($B$6="ламель 125",VLOOKUP(D$15,Данные!$A$143:$AL$170,31,FALSE),0)</f>
        <v>-</v>
      </c>
      <c r="E73" s="61">
        <f>IF($B$6="ламель 125",VLOOKUP(D$15,Данные!$A$143:$AL$170,32,FALSE),0)</f>
        <v>0</v>
      </c>
      <c r="F73" s="53" t="str">
        <f>IF($B$6="ламель 125",VLOOKUP(F$15,Данные!$A$143:$AL$170,31,FALSE),0)</f>
        <v>-</v>
      </c>
      <c r="G73" s="61">
        <f>IF($B$6="ламель 125",VLOOKUP(F$15,Данные!$A$143:$AL$170,32,FALSE),0)</f>
        <v>0</v>
      </c>
      <c r="H73" s="53" t="str">
        <f>IF($B$6="ламель 125",VLOOKUP(H$15,Данные!$A$143:$AL$170,31,FALSE),0)</f>
        <v>-</v>
      </c>
      <c r="I73" s="53">
        <f>IF($B$6="ламель 125",VLOOKUP(H$15,Данные!$A$143:$AL$170,32,FALSE),0)</f>
        <v>0</v>
      </c>
      <c r="K73" s="113"/>
    </row>
    <row r="74" spans="1:11" ht="16.5" customHeight="1" x14ac:dyDescent="0.2">
      <c r="A74" s="46" t="s">
        <v>280</v>
      </c>
      <c r="B74" s="53" t="str">
        <f t="shared" si="9"/>
        <v>-</v>
      </c>
      <c r="C74" s="61">
        <f>C73</f>
        <v>0</v>
      </c>
      <c r="D74" s="53" t="str">
        <f t="shared" ref="D74" si="13">D73</f>
        <v>-</v>
      </c>
      <c r="E74" s="61">
        <f>E73</f>
        <v>0</v>
      </c>
      <c r="F74" s="53" t="str">
        <f t="shared" ref="F74" si="14">F73</f>
        <v>-</v>
      </c>
      <c r="G74" s="61">
        <f>G73</f>
        <v>0</v>
      </c>
      <c r="H74" s="53" t="str">
        <f t="shared" ref="H74" si="15">H73</f>
        <v>-</v>
      </c>
      <c r="I74" s="53">
        <f>I73</f>
        <v>0</v>
      </c>
      <c r="K74" s="113"/>
    </row>
    <row r="75" spans="1:11" ht="16.5" customHeight="1" x14ac:dyDescent="0.2">
      <c r="A75" s="46" t="s">
        <v>283</v>
      </c>
      <c r="B75" s="53" t="str">
        <f>IF($B$6="ламель 125",VLOOKUP(B$15,Данные!$A$143:$AL$170,4,FALSE),0)</f>
        <v>-</v>
      </c>
      <c r="C75" s="61">
        <f>IF($B$6="ламель 125",VLOOKUP(B$15,Данные!$A$143:$AL$170,5,FALSE),0)</f>
        <v>0</v>
      </c>
      <c r="D75" s="53" t="str">
        <f>IF($B$6="ламель 125",VLOOKUP(D$15,Данные!$A$143:$AL$170,4,FALSE),0)</f>
        <v>-</v>
      </c>
      <c r="E75" s="61">
        <f>IF($B$6="ламель 125",VLOOKUP(D$15,Данные!$A$143:$AL$170,5,FALSE),0)</f>
        <v>0</v>
      </c>
      <c r="F75" s="53" t="str">
        <f>IF($B$6="ламель 125",VLOOKUP(F$15,Данные!$A$143:$AL$170,4,FALSE),0)</f>
        <v>-</v>
      </c>
      <c r="G75" s="61">
        <f>IF($B$6="ламель 125",VLOOKUP(F$15,Данные!$A$143:$AL$170,5,FALSE),0)</f>
        <v>0</v>
      </c>
      <c r="H75" s="53" t="str">
        <f>IF($B$6="ламель 125",VLOOKUP(H$15,Данные!$A$143:$AL$170,4,FALSE),0)</f>
        <v>-</v>
      </c>
      <c r="I75" s="53">
        <f>IF($B$6="ламель 125",VLOOKUP(H$15,Данные!$A$143:$AL$170,5,FALSE),0)</f>
        <v>0</v>
      </c>
      <c r="K75" s="11"/>
    </row>
    <row r="76" spans="1:11" ht="16.5" customHeight="1" x14ac:dyDescent="0.2">
      <c r="A76" s="46" t="s">
        <v>284</v>
      </c>
      <c r="B76" s="53" t="str">
        <f t="shared" ref="B76:C76" si="16">B75</f>
        <v>-</v>
      </c>
      <c r="C76" s="61">
        <f t="shared" si="16"/>
        <v>0</v>
      </c>
      <c r="D76" s="53" t="str">
        <f t="shared" ref="D76:I76" si="17">D75</f>
        <v>-</v>
      </c>
      <c r="E76" s="61">
        <f t="shared" si="17"/>
        <v>0</v>
      </c>
      <c r="F76" s="53" t="str">
        <f t="shared" si="17"/>
        <v>-</v>
      </c>
      <c r="G76" s="61">
        <f t="shared" si="17"/>
        <v>0</v>
      </c>
      <c r="H76" s="53" t="str">
        <f t="shared" si="17"/>
        <v>-</v>
      </c>
      <c r="I76" s="53">
        <f t="shared" si="17"/>
        <v>0</v>
      </c>
      <c r="K76" s="11"/>
    </row>
    <row r="77" spans="1:11" ht="16.5" customHeight="1" x14ac:dyDescent="0.2">
      <c r="A77" s="46" t="s">
        <v>285</v>
      </c>
      <c r="B77" s="53" t="str">
        <f>IF($B$6="ламель 125",VLOOKUP(B$15,Данные!$A$143:$AL$170,33,FALSE),0)</f>
        <v>-</v>
      </c>
      <c r="C77" s="61">
        <f>IF($B$6="ламель 125",VLOOKUP(B$15,Данные!$A$143:$AL$170,34,FALSE),0)</f>
        <v>0</v>
      </c>
      <c r="D77" s="53" t="str">
        <f>IF($B$6="ламель 125",VLOOKUP(D$15,Данные!$A$143:$AL$170,33,FALSE),0)</f>
        <v>-</v>
      </c>
      <c r="E77" s="61">
        <f>IF($B$6="ламель 125",VLOOKUP(D$15,Данные!$A$143:$AL$170,34,FALSE),0)</f>
        <v>0</v>
      </c>
      <c r="F77" s="53" t="str">
        <f>IF($B$6="ламель 125",VLOOKUP(F$15,Данные!$A$143:$AL$170,33,FALSE),0)</f>
        <v>-</v>
      </c>
      <c r="G77" s="61">
        <f>IF($B$6="ламель 125",VLOOKUP(F$15,Данные!$A$143:$AL$170,34,FALSE),0)</f>
        <v>0</v>
      </c>
      <c r="H77" s="53" t="str">
        <f>IF($B$6="ламель 125",VLOOKUP(H$15,Данные!$A$143:$AL$170,33,FALSE),0)</f>
        <v>-</v>
      </c>
      <c r="I77" s="53">
        <f>IF($B$6="ламель 125",VLOOKUP(H$15,Данные!$A$143:$AL$170,34,FALSE),0)</f>
        <v>0</v>
      </c>
      <c r="K77" s="113"/>
    </row>
    <row r="78" spans="1:11" ht="16.5" customHeight="1" x14ac:dyDescent="0.2">
      <c r="A78" s="46" t="s">
        <v>286</v>
      </c>
      <c r="B78" s="53" t="str">
        <f t="shared" ref="B78" si="18">B77</f>
        <v>-</v>
      </c>
      <c r="C78" s="61">
        <f>C77</f>
        <v>0</v>
      </c>
      <c r="D78" s="53" t="str">
        <f t="shared" ref="D78" si="19">D77</f>
        <v>-</v>
      </c>
      <c r="E78" s="61">
        <f>E77</f>
        <v>0</v>
      </c>
      <c r="F78" s="53" t="str">
        <f t="shared" ref="F78" si="20">F77</f>
        <v>-</v>
      </c>
      <c r="G78" s="61">
        <f>G77</f>
        <v>0</v>
      </c>
      <c r="H78" s="53" t="str">
        <f t="shared" ref="H78" si="21">H77</f>
        <v>-</v>
      </c>
      <c r="I78" s="53">
        <f>I77</f>
        <v>0</v>
      </c>
      <c r="K78" s="113"/>
    </row>
    <row r="79" spans="1:11" ht="16.5" customHeight="1" x14ac:dyDescent="0.2">
      <c r="A79" s="46" t="s">
        <v>287</v>
      </c>
      <c r="B79" s="53">
        <f>IF($B$6="ламель 150",VLOOKUP(B$15,Данные!$A$143:$AL$170,6,FALSE),0)</f>
        <v>0</v>
      </c>
      <c r="C79" s="61">
        <f>IF($B$6="ламель 150",VLOOKUP(B$15,Данные!$A$143:$AL$170,7,FALSE),0)</f>
        <v>0</v>
      </c>
      <c r="D79" s="53">
        <f>IF($B$6="ламель 150",VLOOKUP(D$15,Данные!$A$143:$AL$170,6,FALSE),0)</f>
        <v>0</v>
      </c>
      <c r="E79" s="61">
        <f>IF($B$6="ламель 150",VLOOKUP(D$15,Данные!$A$143:$AL$170,7,FALSE),0)</f>
        <v>0</v>
      </c>
      <c r="F79" s="53">
        <f>IF($B$6="ламель 150",VLOOKUP(F$15,Данные!$A$143:$AL$170,6,FALSE),0)</f>
        <v>0</v>
      </c>
      <c r="G79" s="61">
        <f>IF($B$6="ламель 150",VLOOKUP(F$15,Данные!$A$143:$AL$170,7,FALSE),0)</f>
        <v>0</v>
      </c>
      <c r="H79" s="53">
        <f>IF($B$6="ламель 150",VLOOKUP(H$15,Данные!$A$143:$AL$170,6,FALSE),0)</f>
        <v>0</v>
      </c>
      <c r="I79" s="53">
        <f>IF($B$6="ламель 150",VLOOKUP(H$15,Данные!$A$143:$AL$170,7,FALSE),0)</f>
        <v>0</v>
      </c>
      <c r="K79" s="11"/>
    </row>
    <row r="80" spans="1:11" ht="16.5" customHeight="1" x14ac:dyDescent="0.2">
      <c r="A80" s="46" t="s">
        <v>288</v>
      </c>
      <c r="B80" s="53">
        <f t="shared" ref="B80:C80" si="22">B79</f>
        <v>0</v>
      </c>
      <c r="C80" s="61">
        <f t="shared" si="22"/>
        <v>0</v>
      </c>
      <c r="D80" s="53">
        <f t="shared" ref="D80:I80" si="23">D79</f>
        <v>0</v>
      </c>
      <c r="E80" s="61">
        <f t="shared" si="23"/>
        <v>0</v>
      </c>
      <c r="F80" s="53">
        <f t="shared" si="23"/>
        <v>0</v>
      </c>
      <c r="G80" s="61">
        <f t="shared" si="23"/>
        <v>0</v>
      </c>
      <c r="H80" s="53">
        <f t="shared" si="23"/>
        <v>0</v>
      </c>
      <c r="I80" s="53">
        <f t="shared" si="23"/>
        <v>0</v>
      </c>
      <c r="K80" s="11"/>
    </row>
    <row r="81" spans="1:11" ht="16.5" customHeight="1" x14ac:dyDescent="0.2">
      <c r="A81" s="46" t="s">
        <v>289</v>
      </c>
      <c r="B81" s="53">
        <f>IF($B$6="ламель 125",0,VLOOKUP(B$15,Данные!$A$143:$AL$170,35,FALSE))</f>
        <v>0</v>
      </c>
      <c r="C81" s="61">
        <f>IF($B$6="ламель 125",0,VLOOKUP(B$15,Данные!$A$143:$AL$170,36,FALSE))</f>
        <v>0</v>
      </c>
      <c r="D81" s="53">
        <f>IF($B$6="ламель 125",0,VLOOKUP(D$15,Данные!$A$143:$AL$170,35,FALSE))</f>
        <v>0</v>
      </c>
      <c r="E81" s="61">
        <f>IF($B$6="ламель 125",0,VLOOKUP(D$15,Данные!$A$143:$AL$170,36,FALSE))</f>
        <v>0</v>
      </c>
      <c r="F81" s="53">
        <f>IF($B$6="ламель 125",0,VLOOKUP(F$15,Данные!$A$143:$AL$170,35,FALSE))</f>
        <v>0</v>
      </c>
      <c r="G81" s="61">
        <f>IF($B$6="ламель 125",0,VLOOKUP(F$15,Данные!$A$143:$AL$170,36,FALSE))</f>
        <v>0</v>
      </c>
      <c r="H81" s="53">
        <f>IF($B$6="ламель 125",0,VLOOKUP(H$15,Данные!$A$143:$AL$170,35,FALSE))</f>
        <v>0</v>
      </c>
      <c r="I81" s="53">
        <f>IF($B$6="ламель 125",0,VLOOKUP(H$15,Данные!$A$143:$AL$170,36,FALSE))</f>
        <v>0</v>
      </c>
      <c r="K81" s="113"/>
    </row>
    <row r="82" spans="1:11" ht="16.5" customHeight="1" x14ac:dyDescent="0.2">
      <c r="A82" s="46" t="s">
        <v>290</v>
      </c>
      <c r="B82" s="53">
        <f t="shared" ref="B82" si="24">B81</f>
        <v>0</v>
      </c>
      <c r="C82" s="61">
        <f>C81</f>
        <v>0</v>
      </c>
      <c r="D82" s="53">
        <f t="shared" ref="D82" si="25">D81</f>
        <v>0</v>
      </c>
      <c r="E82" s="61">
        <f>E81</f>
        <v>0</v>
      </c>
      <c r="F82" s="53">
        <f t="shared" ref="F82" si="26">F81</f>
        <v>0</v>
      </c>
      <c r="G82" s="61">
        <f>G81</f>
        <v>0</v>
      </c>
      <c r="H82" s="53">
        <f t="shared" ref="H82" si="27">H81</f>
        <v>0</v>
      </c>
      <c r="I82" s="53">
        <f>I81</f>
        <v>0</v>
      </c>
      <c r="K82" s="113"/>
    </row>
    <row r="83" spans="1:11" ht="16.5" customHeight="1" x14ac:dyDescent="0.2">
      <c r="A83" s="46" t="s">
        <v>291</v>
      </c>
      <c r="B83" s="53">
        <f>IF($B$6="ламель 150",VLOOKUP(B$15,Данные!$A$143:$AL$170,8,FALSE),0)</f>
        <v>0</v>
      </c>
      <c r="C83" s="61">
        <f>IF($B$6="ламель 150",VLOOKUP(B$15,Данные!$A$143:$AL$170,9,FALSE),0)</f>
        <v>0</v>
      </c>
      <c r="D83" s="53">
        <f>IF($B$6="ламель 150",VLOOKUP(D$15,Данные!$A$143:$AL$170,8,FALSE),0)</f>
        <v>0</v>
      </c>
      <c r="E83" s="61">
        <f>IF($B$6="ламель 150",VLOOKUP(D$15,Данные!$A$143:$AL$170,9,FALSE),0)</f>
        <v>0</v>
      </c>
      <c r="F83" s="53">
        <f>IF($B$6="ламель 150",VLOOKUP(F$15,Данные!$A$143:$AL$170,8,FALSE),0)</f>
        <v>0</v>
      </c>
      <c r="G83" s="61">
        <f>IF($B$6="ламель 150",VLOOKUP(F$15,Данные!$A$143:$AL$170,9,FALSE),0)</f>
        <v>0</v>
      </c>
      <c r="H83" s="53">
        <f>IF($B$6="ламель 150",VLOOKUP(H$15,Данные!$A$143:$AL$170,8,FALSE),0)</f>
        <v>0</v>
      </c>
      <c r="I83" s="53">
        <f>IF($B$6="ламель 150",VLOOKUP(H$15,Данные!$A$143:$AL$170,9,FALSE),0)</f>
        <v>0</v>
      </c>
      <c r="K83" s="11"/>
    </row>
    <row r="84" spans="1:11" ht="16.5" customHeight="1" x14ac:dyDescent="0.2">
      <c r="A84" s="46" t="s">
        <v>292</v>
      </c>
      <c r="B84" s="53">
        <f t="shared" ref="B84:C84" si="28">B83</f>
        <v>0</v>
      </c>
      <c r="C84" s="61">
        <f t="shared" si="28"/>
        <v>0</v>
      </c>
      <c r="D84" s="53">
        <f t="shared" ref="D84:I84" si="29">D83</f>
        <v>0</v>
      </c>
      <c r="E84" s="61">
        <f t="shared" si="29"/>
        <v>0</v>
      </c>
      <c r="F84" s="53">
        <f t="shared" si="29"/>
        <v>0</v>
      </c>
      <c r="G84" s="61">
        <f t="shared" si="29"/>
        <v>0</v>
      </c>
      <c r="H84" s="53">
        <f t="shared" si="29"/>
        <v>0</v>
      </c>
      <c r="I84" s="53">
        <f t="shared" si="29"/>
        <v>0</v>
      </c>
      <c r="K84" s="11"/>
    </row>
    <row r="85" spans="1:11" ht="16.5" customHeight="1" x14ac:dyDescent="0.2">
      <c r="A85" s="46" t="s">
        <v>293</v>
      </c>
      <c r="B85" s="53">
        <f>IF($B$6="ламель 125",0,VLOOKUP(B$15,Данные!$A$143:$AL$170,37,FALSE))</f>
        <v>0</v>
      </c>
      <c r="C85" s="61">
        <f>IF($B$6="ламель 125",0,VLOOKUP(B$15,Данные!$A$143:$AL$170,38,FALSE))</f>
        <v>0</v>
      </c>
      <c r="D85" s="53">
        <f>IF($B$6="ламель 125",0,VLOOKUP(D$15,Данные!$A$143:$AL$170,37,FALSE))</f>
        <v>0</v>
      </c>
      <c r="E85" s="61">
        <f>IF($B$6="ламель 125",0,VLOOKUP(D$15,Данные!$A$143:$AL$170,38,FALSE))</f>
        <v>0</v>
      </c>
      <c r="F85" s="53">
        <f>IF($B$6="ламель 125",0,VLOOKUP(F$15,Данные!$A$143:$AL$170,37,FALSE))</f>
        <v>0</v>
      </c>
      <c r="G85" s="61">
        <f>IF($B$6="ламель 125",0,VLOOKUP(F$15,Данные!$A$143:$AL$170,38,FALSE))</f>
        <v>0</v>
      </c>
      <c r="H85" s="53">
        <f>IF($B$6="ламель 125",0,VLOOKUP(H$15,Данные!$A$143:$AL$170,37,FALSE))</f>
        <v>0</v>
      </c>
      <c r="I85" s="53">
        <f>IF($B$6="ламель 125",0,VLOOKUP(H$15,Данные!$A$143:$AL$170,38,FALSE))</f>
        <v>0</v>
      </c>
      <c r="K85" s="113"/>
    </row>
    <row r="86" spans="1:11" ht="16.5" customHeight="1" x14ac:dyDescent="0.2">
      <c r="A86" s="46" t="s">
        <v>294</v>
      </c>
      <c r="B86" s="53">
        <f t="shared" ref="B86" si="30">B85</f>
        <v>0</v>
      </c>
      <c r="C86" s="61">
        <f>C85</f>
        <v>0</v>
      </c>
      <c r="D86" s="53">
        <f t="shared" ref="D86" si="31">D85</f>
        <v>0</v>
      </c>
      <c r="E86" s="61">
        <f>E85</f>
        <v>0</v>
      </c>
      <c r="F86" s="53">
        <f t="shared" ref="F86" si="32">F85</f>
        <v>0</v>
      </c>
      <c r="G86" s="61">
        <f>G85</f>
        <v>0</v>
      </c>
      <c r="H86" s="53">
        <f t="shared" ref="H86" si="33">H85</f>
        <v>0</v>
      </c>
      <c r="I86" s="53">
        <f>I85</f>
        <v>0</v>
      </c>
      <c r="K86" s="113"/>
    </row>
    <row r="87" spans="1:11" ht="16.5" customHeight="1" x14ac:dyDescent="0.2">
      <c r="A87" s="46" t="s">
        <v>267</v>
      </c>
      <c r="B87" s="53" t="str">
        <f>IF($B$6="ламель 125",VLOOKUP(B$15,Данные!$A$143:$AL$170,14,FALSE),0)</f>
        <v>-</v>
      </c>
      <c r="C87" s="61">
        <f>IF($B$6="ламель 125",VLOOKUP(B$15,Данные!$A$143:$AL$170,15,FALSE),0)</f>
        <v>0</v>
      </c>
      <c r="D87" s="53" t="str">
        <f>IF($B$6="ламель 125",VLOOKUP(D$15,Данные!$A$143:$AL$170,14,FALSE),0)</f>
        <v>-</v>
      </c>
      <c r="E87" s="61">
        <f>IF($B$6="ламель 125",VLOOKUP(D$15,Данные!$A$143:$AL$170,15,FALSE),0)</f>
        <v>0</v>
      </c>
      <c r="F87" s="53" t="str">
        <f>IF($B$6="ламель 125",VLOOKUP(F$15,Данные!$A$143:$AL$170,14,FALSE),0)</f>
        <v>-</v>
      </c>
      <c r="G87" s="61">
        <f>IF($B$6="ламель 125",VLOOKUP(F$15,Данные!$A$143:$AL$170,15,FALSE),0)</f>
        <v>0</v>
      </c>
      <c r="H87" s="53" t="str">
        <f>IF($B$6="ламель 125",VLOOKUP(H$15,Данные!$A$143:$AL$170,14,FALSE),0)</f>
        <v>-</v>
      </c>
      <c r="I87" s="53">
        <f>IF($B$6="ламель 125",VLOOKUP(H$15,Данные!$A$143:$AL$170,15,FALSE),0)</f>
        <v>0</v>
      </c>
      <c r="K87" s="11"/>
    </row>
    <row r="88" spans="1:11" ht="16.5" customHeight="1" x14ac:dyDescent="0.2">
      <c r="A88" s="46" t="s">
        <v>269</v>
      </c>
      <c r="B88" s="53">
        <f>IFERROR(IF(OR(B15="Откатные 2,0х6,0",B15="Откатные на кирпич столб 2,0х6,0",$B$6="ламель 150"),0,VLOOKUP(B$15,Данные!$A$156:$AL$170,27,FALSE)),0)</f>
        <v>0</v>
      </c>
      <c r="C88" s="61">
        <f>IFERROR(IF(OR(B15="Откатные 2,0х6,0",B15="Откатные на кирпич столб 2,0х6,0",$B$6="ламель 150"),0,VLOOKUP(B$15,Данные!$A$156:$AL$170,28,FALSE)),0)</f>
        <v>0</v>
      </c>
      <c r="D88" s="53">
        <f>IFERROR(IF(OR(D15="Откатные 2,0х6,0",D15="Откатные на кирпич столб 2,0х6,0",$B$6="ламель 150"),0,VLOOKUP(D$15,Данные!$A$156:$AL$170,27,FALSE)),0)</f>
        <v>0</v>
      </c>
      <c r="E88" s="61">
        <f>IFERROR(IF(OR(D15="Откатные 2,0х6,0",D15="Откатные на кирпич столб 2,0х6,0",$B$6="ламель 150"),0,VLOOKUP(D$15,Данные!$A$156:$AL$170,28,FALSE)),0)</f>
        <v>0</v>
      </c>
      <c r="F88" s="53">
        <f>IFERROR(IF(OR(F15="Откатные 2,0х6,0",F15="Откатные на кирпич столб 2,0х6,0",$B$6="ламель 150"),0,VLOOKUP(F$15,Данные!$A$156:$AL$170,27,FALSE)),0)</f>
        <v>0</v>
      </c>
      <c r="G88" s="61">
        <f>IFERROR(IF(OR(F15="Откатные 2,0х6,0",F15="Откатные на кирпич столб 2,0х6,0",$B$6="ламель 150"),0,VLOOKUP(F$15,Данные!$A$156:$AL$170,28,FALSE)),0)</f>
        <v>0</v>
      </c>
      <c r="H88" s="53">
        <f>IFERROR(IF(OR(H15="Откатные 2,0х6,0",H15="Откатные на кирпич столб 2,0х6,0",$B$6="ламель 150"),0,VLOOKUP(H$15,Данные!$A$156:$AL$170,27,FALSE)),0)</f>
        <v>0</v>
      </c>
      <c r="I88" s="53">
        <f>IFERROR(IF(OR(H15="Откатные 2,0х6,0",H15="Откатные на кирпич столб 2,0х6,0",$B$6="ламель 150"),0,VLOOKUP(H$15,Данные!$A$156:$AL$170,28,FALSE)),0)</f>
        <v>0</v>
      </c>
      <c r="K88" s="113"/>
    </row>
    <row r="89" spans="1:11" ht="16.5" customHeight="1" x14ac:dyDescent="0.2">
      <c r="A89" s="46" t="s">
        <v>268</v>
      </c>
      <c r="B89" s="53">
        <f>IF($B$6="ламель 125",0,VLOOKUP(B$15,Данные!$A$143:$AL$170,16,FALSE))</f>
        <v>0</v>
      </c>
      <c r="C89" s="61">
        <f>IF($B$6="ламель 125",0,VLOOKUP(B$15,Данные!$A$143:$AL$170,17,FALSE))</f>
        <v>0</v>
      </c>
      <c r="D89" s="53">
        <f>IF($B$6="ламель 125",0,VLOOKUP(D$15,Данные!$A$143:$AL$170,16,FALSE))</f>
        <v>0</v>
      </c>
      <c r="E89" s="61">
        <f>IF($B$6="ламель 125",0,VLOOKUP(D$15,Данные!$A$143:$AL$170,17,FALSE))</f>
        <v>0</v>
      </c>
      <c r="F89" s="53">
        <f>IF($B$6="ламель 125",0,VLOOKUP(F$15,Данные!$A$143:$AL$170,16,FALSE))</f>
        <v>0</v>
      </c>
      <c r="G89" s="61">
        <f>IF($B$6="ламель 125",0,VLOOKUP(F$15,Данные!$A$143:$AL$170,17,FALSE))</f>
        <v>0</v>
      </c>
      <c r="H89" s="53">
        <f>IF($B$6="ламель 125",0,VLOOKUP(H$15,Данные!$A$143:$AL$170,16,FALSE))</f>
        <v>0</v>
      </c>
      <c r="I89" s="53">
        <f>IF($B$6="ламель 125",0,VLOOKUP(H$15,Данные!$A$143:$AL$170,17,FALSE))</f>
        <v>0</v>
      </c>
      <c r="K89" s="11"/>
    </row>
    <row r="90" spans="1:11" ht="16.5" customHeight="1" x14ac:dyDescent="0.2">
      <c r="A90" s="46" t="s">
        <v>272</v>
      </c>
      <c r="B90" s="53">
        <f>IF(OR(B15="Откатные 2,0х6,0",B15="Откатные на кирпич столб 2,0х6,0",$B$6="ламель 125"),0,VLOOKUP(B$15,Данные!$A$156:$AL$170,29,FALSE))</f>
        <v>0</v>
      </c>
      <c r="C90" s="61">
        <f>IFERROR(IF(OR(B15="Откатные 2,0х6,0",B15="Откатные на кирпич столб 2,0х6,0",$B$6="ламель 125"),0,VLOOKUP(B$15,Данные!$A$156:$AL$170,30,FALSE)),0)</f>
        <v>0</v>
      </c>
      <c r="D90" s="53">
        <f>IF(OR(D15="Откатные 2,0х6,0",D15="Откатные на кирпич столб 2,0х6,0",$B$6="ламель 125"),0,VLOOKUP(D$15,Данные!$A$156:$AL$170,29,FALSE))</f>
        <v>0</v>
      </c>
      <c r="E90" s="61">
        <f>IFERROR(IF(OR(D15="Откатные 2,0х6,0",D15="Откатные на кирпич столб 2,0х6,0",$B$6="ламель 125"),0,VLOOKUP(D$15,Данные!$A$156:$AL$170,30,FALSE)),0)</f>
        <v>0</v>
      </c>
      <c r="F90" s="53">
        <f>IF(OR(F15="Откатные 2,0х6,0",F15="Откатные на кирпич столб 2,0х6,0",$B$6="ламель 125"),0,VLOOKUP(F$15,Данные!$A$156:$AL$170,29,FALSE))</f>
        <v>0</v>
      </c>
      <c r="G90" s="61">
        <f>IFERROR(IF(OR(F15="Откатные 2,0х6,0",F15="Откатные на кирпич столб 2,0х6,0",$B$6="ламель 125"),0,VLOOKUP(F$15,Данные!$A$156:$AL$170,30,FALSE)),0)</f>
        <v>0</v>
      </c>
      <c r="H90" s="53">
        <f>IF(OR(H15="Откатные 2,0х6,0",H15="Откатные на кирпич столб 2,0х6,0",$B$6="ламель 125"),0,VLOOKUP(H$15,Данные!$A$156:$AL$170,29,FALSE))</f>
        <v>0</v>
      </c>
      <c r="I90" s="53">
        <f>IFERROR(IF(OR(H15="Откатные 2,0х6,0",H15="Откатные на кирпич столб 2,0х6,0",$B$6="ламель 125"),0,VLOOKUP(H$15,Данные!$A$156:$AL$170,30,FALSE)),0)</f>
        <v>0</v>
      </c>
      <c r="K90" s="113"/>
    </row>
    <row r="91" spans="1:11" ht="16.5" customHeight="1" x14ac:dyDescent="0.2">
      <c r="A91" s="46" t="s">
        <v>77</v>
      </c>
      <c r="B91" s="53" t="str">
        <f>IF($B$6="ламель 125",VLOOKUP(B$15,Данные!$A$143:$AL$170,10,FALSE),VLOOKUP(B$15,Данные!$A$143:$AL$170,12,FALSE))</f>
        <v>-</v>
      </c>
      <c r="C91" s="61">
        <f>IF($B$6="ламель 125",VLOOKUP(B$15,Данные!$A$143:$AL$170,11,FALSE),VLOOKUP(B$15,Данные!$A$143:$AL$170,13,FALSE))</f>
        <v>0</v>
      </c>
      <c r="D91" s="53" t="str">
        <f>IF($B$6="ламель 125",VLOOKUP(D$15,Данные!$A$143:$AL$170,10,FALSE),VLOOKUP(D$15,Данные!$A$143:$AL$170,12,FALSE))</f>
        <v>-</v>
      </c>
      <c r="E91" s="61">
        <f>IF($B$6="ламель 125",VLOOKUP(D$15,Данные!$A$143:$AL$170,11,FALSE),VLOOKUP(D$15,Данные!$A$143:$AL$170,13,FALSE))</f>
        <v>0</v>
      </c>
      <c r="F91" s="53" t="str">
        <f>IF($B$6="ламель 125",VLOOKUP(F$15,Данные!$A$143:$AL$170,10,FALSE),VLOOKUP(F$15,Данные!$A$143:$AL$170,12,FALSE))</f>
        <v>-</v>
      </c>
      <c r="G91" s="61">
        <f>IF($B$6="ламель 125",VLOOKUP(F$15,Данные!$A$143:$AL$170,11,FALSE),VLOOKUP(F$15,Данные!$A$143:$AL$170,13,FALSE))</f>
        <v>0</v>
      </c>
      <c r="H91" s="53" t="str">
        <f>IF($B$6="ламель 125",VLOOKUP(H$15,Данные!$A$143:$AL$170,10,FALSE),VLOOKUP(H$15,Данные!$A$143:$AL$170,12,FALSE))</f>
        <v>-</v>
      </c>
      <c r="I91" s="53">
        <f>IF($B$6="ламель 125",VLOOKUP(H$15,Данные!$A$143:$AL$170,11,FALSE),VLOOKUP(H$15,Данные!$A$143:$AL$170,13,FALSE))</f>
        <v>0</v>
      </c>
      <c r="K91" s="11"/>
    </row>
    <row r="92" spans="1:11" ht="16.5" customHeight="1" x14ac:dyDescent="0.2">
      <c r="A92" s="46" t="s">
        <v>87</v>
      </c>
      <c r="B92" s="53" t="s">
        <v>10</v>
      </c>
      <c r="C92" s="61">
        <f>IF($B$6="ламель 125",VLOOKUP(B$15,Данные!$A$143:$AL$170,21,FALSE),0)</f>
        <v>0</v>
      </c>
      <c r="D92" s="53" t="s">
        <v>10</v>
      </c>
      <c r="E92" s="61">
        <f>IF($B$6="ламель 125",VLOOKUP(D$15,Данные!$A$143:$AL$170,21,FALSE),0)</f>
        <v>0</v>
      </c>
      <c r="F92" s="53" t="s">
        <v>10</v>
      </c>
      <c r="G92" s="61">
        <f>IF($B$6="ламель 125",VLOOKUP(F$15,Данные!$A$143:$AL$170,21,FALSE),0)</f>
        <v>0</v>
      </c>
      <c r="H92" s="53" t="s">
        <v>10</v>
      </c>
      <c r="I92" s="53">
        <f>IF($B$6="ламель 125",VLOOKUP(H$15,Данные!$A$143:$AL$170,21,FALSE),0)</f>
        <v>0</v>
      </c>
      <c r="K92" s="11"/>
    </row>
    <row r="93" spans="1:11" ht="16.5" customHeight="1" x14ac:dyDescent="0.2">
      <c r="A93" s="46" t="s">
        <v>88</v>
      </c>
      <c r="B93" s="53" t="s">
        <v>10</v>
      </c>
      <c r="C93" s="61">
        <f>IF($B$6="ламель 125",VLOOKUP(B$15,Данные!$A$143:$AL$170,22,FALSE),0)</f>
        <v>0</v>
      </c>
      <c r="D93" s="53" t="s">
        <v>10</v>
      </c>
      <c r="E93" s="61">
        <f>IF($B$6="ламель 125",VLOOKUP(D$15,Данные!$A$143:$AL$170,22,FALSE),0)</f>
        <v>0</v>
      </c>
      <c r="F93" s="53" t="s">
        <v>10</v>
      </c>
      <c r="G93" s="61">
        <f>IF($B$6="ламель 125",VLOOKUP(F$15,Данные!$A$143:$AL$170,22,FALSE),0)</f>
        <v>0</v>
      </c>
      <c r="H93" s="53" t="s">
        <v>10</v>
      </c>
      <c r="I93" s="53">
        <f>IF($B$6="ламель 125",VLOOKUP(H$15,Данные!$A$143:$AL$170,22,FALSE),0)</f>
        <v>0</v>
      </c>
      <c r="K93" s="11"/>
    </row>
    <row r="94" spans="1:11" ht="16.5" customHeight="1" x14ac:dyDescent="0.2">
      <c r="A94" s="46" t="s">
        <v>89</v>
      </c>
      <c r="B94" s="53" t="s">
        <v>10</v>
      </c>
      <c r="C94" s="61">
        <f>IF($B$6="ламель 125",VLOOKUP(B$15,Данные!$A$143:$AL$170,23,FALSE),0)</f>
        <v>0</v>
      </c>
      <c r="D94" s="53" t="s">
        <v>10</v>
      </c>
      <c r="E94" s="61">
        <f>IF($B$6="ламель 125",VLOOKUP(D$15,Данные!$A$143:$AL$170,23,FALSE),0)</f>
        <v>0</v>
      </c>
      <c r="F94" s="53" t="s">
        <v>10</v>
      </c>
      <c r="G94" s="61">
        <f>IF($B$6="ламель 125",VLOOKUP(F$15,Данные!$A$143:$AL$170,23,FALSE),0)</f>
        <v>0</v>
      </c>
      <c r="H94" s="53" t="s">
        <v>10</v>
      </c>
      <c r="I94" s="53">
        <f>IF($B$6="ламель 125",VLOOKUP(H$15,Данные!$A$143:$AL$170,23,FALSE),0)</f>
        <v>0</v>
      </c>
      <c r="K94" s="11"/>
    </row>
    <row r="95" spans="1:11" ht="16.5" customHeight="1" x14ac:dyDescent="0.2">
      <c r="A95" s="46" t="s">
        <v>90</v>
      </c>
      <c r="B95" s="53" t="s">
        <v>10</v>
      </c>
      <c r="C95" s="61">
        <f>IF($B$6="ламель 150",VLOOKUP(B$15,Данные!$A$143:$AL$170,24,FALSE),0)</f>
        <v>0</v>
      </c>
      <c r="D95" s="53" t="s">
        <v>10</v>
      </c>
      <c r="E95" s="61">
        <f>IF($B$6="ламель 150",VLOOKUP(D$15,Данные!$A$143:$AL$170,24,FALSE),0)</f>
        <v>0</v>
      </c>
      <c r="F95" s="53" t="s">
        <v>10</v>
      </c>
      <c r="G95" s="61">
        <f>IF($B$6="ламель 150",VLOOKUP(F$15,Данные!$A$143:$AL$170,24,FALSE),0)</f>
        <v>0</v>
      </c>
      <c r="H95" s="53" t="s">
        <v>10</v>
      </c>
      <c r="I95" s="53">
        <f>IF($B$6="ламель 150",VLOOKUP(H$15,Данные!$A$143:$AL$170,24,FALSE),0)</f>
        <v>0</v>
      </c>
      <c r="K95" s="11"/>
    </row>
    <row r="96" spans="1:11" ht="16.5" customHeight="1" x14ac:dyDescent="0.2">
      <c r="A96" s="46" t="s">
        <v>91</v>
      </c>
      <c r="B96" s="53" t="s">
        <v>10</v>
      </c>
      <c r="C96" s="61">
        <f>IF($B$6="ламель 150",VLOOKUP(B$15,Данные!$A$143:$AL$170,25,FALSE),0)</f>
        <v>0</v>
      </c>
      <c r="D96" s="53" t="s">
        <v>10</v>
      </c>
      <c r="E96" s="61">
        <f>IF($B$6="ламель 150",VLOOKUP(D$15,Данные!$A$143:$AL$170,25,FALSE),0)</f>
        <v>0</v>
      </c>
      <c r="F96" s="53" t="s">
        <v>10</v>
      </c>
      <c r="G96" s="61">
        <f>IF($B$6="ламель 150",VLOOKUP(F$15,Данные!$A$143:$AL$170,25,FALSE),0)</f>
        <v>0</v>
      </c>
      <c r="H96" s="53" t="s">
        <v>10</v>
      </c>
      <c r="I96" s="53">
        <f>IF($B$6="ламель 150",VLOOKUP(H$15,Данные!$A$143:$AL$170,25,FALSE),0)</f>
        <v>0</v>
      </c>
      <c r="K96" s="11"/>
    </row>
    <row r="97" spans="1:30" ht="16.5" customHeight="1" x14ac:dyDescent="0.2">
      <c r="A97" s="46" t="s">
        <v>92</v>
      </c>
      <c r="B97" s="53" t="s">
        <v>10</v>
      </c>
      <c r="C97" s="61">
        <f>IF($B$6="ламель 150",VLOOKUP(B$15,Данные!$A$143:$AL$170,26,FALSE),0)</f>
        <v>0</v>
      </c>
      <c r="D97" s="53" t="s">
        <v>10</v>
      </c>
      <c r="E97" s="61">
        <f>IF($B$6="ламель 150",VLOOKUP(D$15,Данные!$A$143:$AL$170,26,FALSE),0)</f>
        <v>0</v>
      </c>
      <c r="F97" s="53" t="s">
        <v>10</v>
      </c>
      <c r="G97" s="61">
        <f>IF($B$6="ламель 150",VLOOKUP(F$15,Данные!$A$143:$AL$170,26,FALSE),0)</f>
        <v>0</v>
      </c>
      <c r="H97" s="53" t="s">
        <v>10</v>
      </c>
      <c r="I97" s="53">
        <f>IF($B$6="ламель 150",VLOOKUP(H$15,Данные!$A$143:$AL$170,26,FALSE),0)</f>
        <v>0</v>
      </c>
      <c r="K97" s="11"/>
    </row>
    <row r="98" spans="1:30" ht="16.5" customHeight="1" x14ac:dyDescent="0.2">
      <c r="A98" s="46" t="s">
        <v>156</v>
      </c>
      <c r="B98" s="57" t="str">
        <f>IF(C98=0,"-","4,0х10")</f>
        <v>-</v>
      </c>
      <c r="C98" s="61">
        <f>IF($B$6="ламель 125",VLOOKUP(B$15,Данные!$A$143:$AL$170,18,FALSE),VLOOKUP(B$15,Данные!$A$143:$AL$170,19,FALSE))</f>
        <v>0</v>
      </c>
      <c r="D98" s="57" t="str">
        <f>IF(E98=0,"-","4,0х10")</f>
        <v>-</v>
      </c>
      <c r="E98" s="61">
        <f>IF($B$6="ламель 125",VLOOKUP(D$15,Данные!$A$143:$AL$170,18,FALSE),VLOOKUP(D$15,Данные!$A$143:$AL$170,19,FALSE))</f>
        <v>0</v>
      </c>
      <c r="F98" s="57" t="str">
        <f>IF(G98=0,"-","4,0х10")</f>
        <v>-</v>
      </c>
      <c r="G98" s="61">
        <f>IF($B$6="ламель 125",VLOOKUP(F$15,Данные!$A$143:$AL$170,18,FALSE),VLOOKUP(F$15,Данные!$A$143:$AL$170,19,FALSE))</f>
        <v>0</v>
      </c>
      <c r="H98" s="57" t="str">
        <f>IF(I98=0,"-","4,0х10")</f>
        <v>-</v>
      </c>
      <c r="I98" s="53">
        <f>IF($B$6="ламель 125",VLOOKUP(H$15,Данные!$A$143:$AL$170,18,FALSE),VLOOKUP(H$15,Данные!$A$143:$AL$170,19,FALSE))</f>
        <v>0</v>
      </c>
      <c r="K98" s="11"/>
      <c r="R98" s="12"/>
      <c r="S98" s="6"/>
      <c r="T98" s="6"/>
      <c r="U98" s="6"/>
      <c r="V98" s="6"/>
      <c r="W98" s="6"/>
      <c r="X98" s="6"/>
      <c r="Y98" s="6"/>
      <c r="Z98" s="13"/>
      <c r="AA98" s="11"/>
      <c r="AB98" s="14"/>
      <c r="AC98" s="14"/>
      <c r="AD98" s="14"/>
    </row>
    <row r="99" spans="1:30" ht="16.5" customHeight="1" x14ac:dyDescent="0.2">
      <c r="A99" s="39" t="s">
        <v>67</v>
      </c>
      <c r="B99" s="57" t="str">
        <f>IF(C99=0,"-","4,2x16")</f>
        <v>-</v>
      </c>
      <c r="C99" s="61">
        <f>VLOOKUP(B$15,Данные!$A$143:$AL$170,20,FALSE)</f>
        <v>0</v>
      </c>
      <c r="D99" s="57" t="str">
        <f>IF(E99=0,"-","4,2x16")</f>
        <v>-</v>
      </c>
      <c r="E99" s="61">
        <f>VLOOKUP(D$15,Данные!$A$143:$AL$170,20,FALSE)</f>
        <v>0</v>
      </c>
      <c r="F99" s="57" t="str">
        <f>IF(G99=0,"-","4,2x16")</f>
        <v>-</v>
      </c>
      <c r="G99" s="61">
        <f>VLOOKUP(F$15,Данные!$A$143:$AL$170,20,FALSE)</f>
        <v>0</v>
      </c>
      <c r="H99" s="57" t="str">
        <f>IF(I99=0,"-","4,2x16")</f>
        <v>-</v>
      </c>
      <c r="I99" s="53">
        <f>VLOOKUP(H$15,Данные!$A$143:$AL$170,20,FALSE)</f>
        <v>0</v>
      </c>
      <c r="K99" s="11"/>
      <c r="R99" s="12"/>
      <c r="S99" s="6"/>
      <c r="T99" s="6"/>
      <c r="U99" s="6"/>
      <c r="V99" s="6"/>
      <c r="W99" s="6"/>
      <c r="X99" s="6"/>
      <c r="Y99" s="6"/>
      <c r="Z99" s="13"/>
      <c r="AA99" s="11"/>
      <c r="AB99" s="14"/>
      <c r="AC99" s="14"/>
      <c r="AD99" s="14"/>
    </row>
    <row r="100" spans="1:30" ht="16.5" customHeight="1" x14ac:dyDescent="0.2">
      <c r="A100" s="73" t="s">
        <v>221</v>
      </c>
      <c r="B100" s="78"/>
      <c r="C100" s="79"/>
      <c r="D100" s="82"/>
      <c r="E100" s="79"/>
      <c r="F100" s="82"/>
      <c r="G100" s="79"/>
      <c r="H100" s="82"/>
      <c r="I100" s="78"/>
      <c r="J100" s="42"/>
      <c r="K100" s="11"/>
    </row>
    <row r="101" spans="1:30" ht="16.5" customHeight="1" x14ac:dyDescent="0.2">
      <c r="A101" s="112" t="s">
        <v>67</v>
      </c>
      <c r="B101" s="57" t="s">
        <v>14</v>
      </c>
      <c r="C101" s="54">
        <f>C36+C69+C99</f>
        <v>0</v>
      </c>
      <c r="D101" s="57" t="s">
        <v>14</v>
      </c>
      <c r="E101" s="54">
        <f>E36+E69+E99</f>
        <v>0</v>
      </c>
      <c r="F101" s="57" t="s">
        <v>14</v>
      </c>
      <c r="G101" s="54">
        <f>G36+G69+G99</f>
        <v>0</v>
      </c>
      <c r="H101" s="57" t="s">
        <v>14</v>
      </c>
      <c r="I101" s="53">
        <f>I36+I69+I99</f>
        <v>0</v>
      </c>
      <c r="J101" s="42"/>
      <c r="K101" s="11"/>
    </row>
    <row r="102" spans="1:30" ht="16.5" customHeight="1" x14ac:dyDescent="0.2">
      <c r="A102" s="46" t="s">
        <v>13</v>
      </c>
      <c r="B102" s="57" t="s">
        <v>14</v>
      </c>
      <c r="C102" s="54">
        <f>C37</f>
        <v>0</v>
      </c>
      <c r="D102" s="57" t="s">
        <v>14</v>
      </c>
      <c r="E102" s="54">
        <f>E37</f>
        <v>0</v>
      </c>
      <c r="F102" s="57" t="s">
        <v>14</v>
      </c>
      <c r="G102" s="54">
        <f>G37</f>
        <v>0</v>
      </c>
      <c r="H102" s="57" t="s">
        <v>14</v>
      </c>
      <c r="I102" s="53">
        <f>I37</f>
        <v>0</v>
      </c>
      <c r="J102" s="42"/>
      <c r="K102" s="11"/>
    </row>
    <row r="103" spans="1:30" ht="16.5" customHeight="1" x14ac:dyDescent="0.2">
      <c r="A103" s="46" t="s">
        <v>156</v>
      </c>
      <c r="B103" s="57" t="s">
        <v>93</v>
      </c>
      <c r="C103" s="61">
        <f>C98</f>
        <v>0</v>
      </c>
      <c r="D103" s="57" t="s">
        <v>93</v>
      </c>
      <c r="E103" s="61">
        <f>E98</f>
        <v>0</v>
      </c>
      <c r="F103" s="57" t="s">
        <v>93</v>
      </c>
      <c r="G103" s="61">
        <f>G98</f>
        <v>0</v>
      </c>
      <c r="H103" s="57" t="s">
        <v>93</v>
      </c>
      <c r="I103" s="53">
        <f>I98</f>
        <v>0</v>
      </c>
      <c r="J103" s="42"/>
      <c r="K103" s="11"/>
    </row>
    <row r="104" spans="1:30" s="97" customFormat="1" ht="16.5" customHeight="1" x14ac:dyDescent="0.2">
      <c r="A104" s="46" t="s">
        <v>301</v>
      </c>
      <c r="B104" s="57" t="s">
        <v>178</v>
      </c>
      <c r="C104" s="54">
        <f>C38</f>
        <v>0</v>
      </c>
      <c r="D104" s="57" t="s">
        <v>178</v>
      </c>
      <c r="E104" s="54">
        <f>E38</f>
        <v>0</v>
      </c>
      <c r="F104" s="57" t="s">
        <v>178</v>
      </c>
      <c r="G104" s="54">
        <f>G38</f>
        <v>0</v>
      </c>
      <c r="H104" s="57" t="s">
        <v>178</v>
      </c>
      <c r="I104" s="53">
        <f>I38</f>
        <v>0</v>
      </c>
      <c r="J104" s="96"/>
      <c r="K104" s="94"/>
    </row>
    <row r="105" spans="1:30" s="97" customFormat="1" ht="16.5" customHeight="1" x14ac:dyDescent="0.2">
      <c r="A105" s="46" t="s">
        <v>302</v>
      </c>
      <c r="B105" s="57"/>
      <c r="C105" s="54">
        <f>C39</f>
        <v>0</v>
      </c>
      <c r="D105" s="57"/>
      <c r="E105" s="54">
        <f>E39</f>
        <v>0</v>
      </c>
      <c r="F105" s="57"/>
      <c r="G105" s="54">
        <f>G39</f>
        <v>0</v>
      </c>
      <c r="H105" s="57"/>
      <c r="I105" s="53">
        <f>I39</f>
        <v>0</v>
      </c>
      <c r="J105" s="96"/>
      <c r="K105" s="94"/>
    </row>
    <row r="106" spans="1:30" ht="12.75" customHeight="1" x14ac:dyDescent="0.2">
      <c r="A106" s="12"/>
      <c r="B106" s="41"/>
      <c r="C106" s="11"/>
      <c r="D106" s="11"/>
      <c r="E106" s="11"/>
      <c r="F106" s="11"/>
      <c r="G106" s="11"/>
      <c r="H106" s="11"/>
      <c r="I106" s="11"/>
      <c r="J106" s="42"/>
      <c r="K106" s="11"/>
    </row>
    <row r="107" spans="1:30" ht="12.75" customHeight="1" x14ac:dyDescent="0.2">
      <c r="A107" s="42"/>
      <c r="B107" s="41"/>
      <c r="C107" s="11"/>
      <c r="D107" s="11"/>
      <c r="E107" s="11"/>
      <c r="F107" s="11"/>
      <c r="G107" s="11"/>
      <c r="H107" s="11"/>
      <c r="I107" s="11"/>
      <c r="J107" s="42"/>
      <c r="K107" s="11"/>
    </row>
    <row r="108" spans="1:30" ht="19.5" customHeight="1" x14ac:dyDescent="0.2">
      <c r="A108" s="173" t="s">
        <v>131</v>
      </c>
      <c r="B108" s="173"/>
      <c r="C108" s="173"/>
      <c r="D108" s="173"/>
      <c r="E108" s="173"/>
      <c r="F108" s="173"/>
      <c r="G108" s="173"/>
      <c r="H108" s="173"/>
      <c r="I108" s="173"/>
      <c r="J108" s="42"/>
      <c r="K108" s="11"/>
    </row>
    <row r="109" spans="1:30" ht="16.5" customHeight="1" x14ac:dyDescent="0.2">
      <c r="A109" s="184" t="s">
        <v>223</v>
      </c>
      <c r="B109" s="184"/>
      <c r="C109" s="184"/>
      <c r="D109" s="184"/>
      <c r="E109" s="184"/>
      <c r="F109" s="184"/>
      <c r="G109" s="184"/>
      <c r="H109" s="184"/>
      <c r="I109" s="184"/>
      <c r="J109" s="12"/>
    </row>
    <row r="110" spans="1:30" ht="12.75" customHeight="1" x14ac:dyDescent="0.2">
      <c r="A110" s="183" t="s">
        <v>154</v>
      </c>
      <c r="B110" s="183"/>
      <c r="C110" s="183"/>
      <c r="D110" s="183"/>
      <c r="E110" s="183"/>
      <c r="F110" s="183"/>
      <c r="G110" s="183"/>
      <c r="H110" s="183"/>
      <c r="I110" s="183"/>
      <c r="J110" s="12"/>
    </row>
    <row r="111" spans="1:30" ht="12.75" customHeight="1" x14ac:dyDescent="0.2">
      <c r="A111" s="183"/>
      <c r="B111" s="183"/>
      <c r="C111" s="183"/>
      <c r="D111" s="183"/>
      <c r="E111" s="183"/>
      <c r="F111" s="183"/>
      <c r="G111" s="183"/>
      <c r="H111" s="183"/>
      <c r="I111" s="183"/>
      <c r="K111" s="26"/>
    </row>
    <row r="112" spans="1:30" ht="12.75" customHeight="1" x14ac:dyDescent="0.2">
      <c r="A112" s="183"/>
      <c r="B112" s="183"/>
      <c r="C112" s="183"/>
      <c r="D112" s="183"/>
      <c r="E112" s="183"/>
      <c r="F112" s="183"/>
      <c r="G112" s="183"/>
      <c r="H112" s="183"/>
      <c r="I112" s="183"/>
    </row>
    <row r="113" spans="1:9" x14ac:dyDescent="0.2">
      <c r="A113" s="183"/>
      <c r="B113" s="183"/>
      <c r="C113" s="183"/>
      <c r="D113" s="183"/>
      <c r="E113" s="183"/>
      <c r="F113" s="183"/>
      <c r="G113" s="183"/>
      <c r="H113" s="183"/>
      <c r="I113" s="183"/>
    </row>
    <row r="114" spans="1:9" x14ac:dyDescent="0.2">
      <c r="A114" s="183"/>
      <c r="B114" s="183"/>
      <c r="C114" s="183"/>
      <c r="D114" s="183"/>
      <c r="E114" s="183"/>
      <c r="F114" s="183"/>
      <c r="G114" s="183"/>
      <c r="H114" s="183"/>
      <c r="I114" s="183"/>
    </row>
    <row r="115" spans="1:9" x14ac:dyDescent="0.2">
      <c r="A115" s="181" t="s">
        <v>50</v>
      </c>
      <c r="B115" s="181"/>
      <c r="C115" s="181"/>
      <c r="D115" s="181"/>
      <c r="E115" s="181"/>
      <c r="F115" s="181"/>
      <c r="G115" s="181"/>
      <c r="H115" s="181"/>
      <c r="I115" s="181"/>
    </row>
    <row r="116" spans="1:9" ht="12.75" customHeight="1" x14ac:dyDescent="0.2">
      <c r="A116" s="181"/>
      <c r="B116" s="181"/>
      <c r="C116" s="181"/>
      <c r="D116" s="181"/>
      <c r="E116" s="181"/>
      <c r="F116" s="181"/>
      <c r="G116" s="181"/>
      <c r="H116" s="181"/>
      <c r="I116" s="181"/>
    </row>
    <row r="117" spans="1:9" ht="12.75" customHeight="1" x14ac:dyDescent="0.2">
      <c r="A117" s="181" t="s">
        <v>155</v>
      </c>
      <c r="B117" s="181"/>
      <c r="C117" s="181"/>
      <c r="D117" s="181"/>
      <c r="E117" s="181"/>
      <c r="F117" s="181"/>
      <c r="G117" s="181"/>
      <c r="H117" s="181"/>
      <c r="I117" s="181"/>
    </row>
    <row r="118" spans="1:9" ht="12.75" customHeight="1" x14ac:dyDescent="0.2">
      <c r="A118" s="181"/>
      <c r="B118" s="181"/>
      <c r="C118" s="181"/>
      <c r="D118" s="181"/>
      <c r="E118" s="181"/>
      <c r="F118" s="181"/>
      <c r="G118" s="181"/>
      <c r="H118" s="181"/>
      <c r="I118" s="181"/>
    </row>
    <row r="119" spans="1:9" ht="12.75" customHeight="1" x14ac:dyDescent="0.2">
      <c r="A119" s="181"/>
      <c r="B119" s="181"/>
      <c r="C119" s="181"/>
      <c r="D119" s="181"/>
      <c r="E119" s="181"/>
      <c r="F119" s="181"/>
      <c r="G119" s="181"/>
      <c r="H119" s="181"/>
      <c r="I119" s="181"/>
    </row>
    <row r="120" spans="1:9" ht="12.75" customHeight="1" x14ac:dyDescent="0.2">
      <c r="A120" s="183" t="s">
        <v>133</v>
      </c>
      <c r="B120" s="183"/>
      <c r="C120" s="183"/>
      <c r="D120" s="183"/>
      <c r="E120" s="183"/>
      <c r="F120" s="183"/>
      <c r="G120" s="183"/>
      <c r="H120" s="183"/>
      <c r="I120" s="183"/>
    </row>
    <row r="121" spans="1:9" ht="12.75" customHeight="1" x14ac:dyDescent="0.2">
      <c r="A121" s="183"/>
      <c r="B121" s="183"/>
      <c r="C121" s="183"/>
      <c r="D121" s="183"/>
      <c r="E121" s="183"/>
      <c r="F121" s="183"/>
      <c r="G121" s="183"/>
      <c r="H121" s="183"/>
      <c r="I121" s="183"/>
    </row>
    <row r="122" spans="1:9" ht="12.75" customHeight="1" x14ac:dyDescent="0.2">
      <c r="A122" s="182" t="s">
        <v>53</v>
      </c>
      <c r="B122" s="182"/>
      <c r="C122" s="182"/>
      <c r="D122" s="182"/>
      <c r="E122" s="182"/>
      <c r="F122" s="182"/>
      <c r="G122" s="182"/>
      <c r="H122" s="182"/>
      <c r="I122" s="182"/>
    </row>
    <row r="123" spans="1:9" ht="12.75" customHeight="1" x14ac:dyDescent="0.2">
      <c r="A123" s="182"/>
      <c r="B123" s="182"/>
      <c r="C123" s="182"/>
      <c r="D123" s="182"/>
      <c r="E123" s="182"/>
      <c r="F123" s="182"/>
      <c r="G123" s="182"/>
      <c r="H123" s="182"/>
      <c r="I123" s="182"/>
    </row>
    <row r="124" spans="1:9" x14ac:dyDescent="0.2">
      <c r="A124" s="182"/>
      <c r="B124" s="182"/>
      <c r="C124" s="182"/>
      <c r="D124" s="182"/>
      <c r="E124" s="182"/>
      <c r="F124" s="182"/>
      <c r="G124" s="182"/>
      <c r="H124" s="182"/>
      <c r="I124" s="182"/>
    </row>
    <row r="125" spans="1:9" x14ac:dyDescent="0.2">
      <c r="A125" s="182"/>
      <c r="B125" s="182"/>
      <c r="C125" s="182"/>
      <c r="D125" s="182"/>
      <c r="E125" s="182"/>
      <c r="F125" s="182"/>
      <c r="G125" s="182"/>
      <c r="H125" s="182"/>
      <c r="I125" s="182"/>
    </row>
    <row r="126" spans="1:9" x14ac:dyDescent="0.2">
      <c r="A126" s="182"/>
      <c r="B126" s="182"/>
      <c r="C126" s="182"/>
      <c r="D126" s="182"/>
      <c r="E126" s="182"/>
      <c r="F126" s="182"/>
      <c r="G126" s="182"/>
      <c r="H126" s="182"/>
      <c r="I126" s="182"/>
    </row>
    <row r="127" spans="1:9" x14ac:dyDescent="0.2">
      <c r="A127" s="182"/>
      <c r="B127" s="182"/>
      <c r="C127" s="182"/>
      <c r="D127" s="182"/>
      <c r="E127" s="182"/>
      <c r="F127" s="182"/>
      <c r="G127" s="182"/>
      <c r="H127" s="182"/>
      <c r="I127" s="182"/>
    </row>
    <row r="128" spans="1:9" x14ac:dyDescent="0.2">
      <c r="A128" s="182"/>
      <c r="B128" s="182"/>
      <c r="C128" s="182"/>
      <c r="D128" s="182"/>
      <c r="E128" s="182"/>
      <c r="F128" s="182"/>
      <c r="G128" s="182"/>
      <c r="H128" s="182"/>
      <c r="I128" s="182"/>
    </row>
    <row r="129" spans="1:11" x14ac:dyDescent="0.2">
      <c r="A129" s="182"/>
      <c r="B129" s="182"/>
      <c r="C129" s="182"/>
      <c r="D129" s="182"/>
      <c r="E129" s="182"/>
      <c r="F129" s="182"/>
      <c r="G129" s="182"/>
      <c r="H129" s="182"/>
      <c r="I129" s="182"/>
    </row>
    <row r="130" spans="1:11" x14ac:dyDescent="0.2">
      <c r="A130" s="182"/>
      <c r="B130" s="182"/>
      <c r="C130" s="182"/>
      <c r="D130" s="182"/>
      <c r="E130" s="182"/>
      <c r="F130" s="182"/>
      <c r="G130" s="182"/>
      <c r="H130" s="182"/>
      <c r="I130" s="182"/>
    </row>
    <row r="131" spans="1:11" x14ac:dyDescent="0.2">
      <c r="A131" s="182"/>
      <c r="B131" s="182"/>
      <c r="C131" s="182"/>
      <c r="D131" s="182"/>
      <c r="E131" s="182"/>
      <c r="F131" s="182"/>
      <c r="G131" s="182"/>
      <c r="H131" s="182"/>
      <c r="I131" s="182"/>
    </row>
    <row r="132" spans="1:11" x14ac:dyDescent="0.2">
      <c r="A132" s="182"/>
      <c r="B132" s="182"/>
      <c r="C132" s="182"/>
      <c r="D132" s="182"/>
      <c r="E132" s="182"/>
      <c r="F132" s="182"/>
      <c r="G132" s="182"/>
      <c r="H132" s="182"/>
      <c r="I132" s="182"/>
    </row>
    <row r="133" spans="1:11" x14ac:dyDescent="0.2">
      <c r="A133" s="182"/>
      <c r="B133" s="182"/>
      <c r="C133" s="182"/>
      <c r="D133" s="182"/>
      <c r="E133" s="182"/>
      <c r="F133" s="182"/>
      <c r="G133" s="182"/>
      <c r="H133" s="182"/>
      <c r="I133" s="182"/>
    </row>
    <row r="134" spans="1:11" x14ac:dyDescent="0.2">
      <c r="A134" s="182"/>
      <c r="B134" s="182"/>
      <c r="C134" s="182"/>
      <c r="D134" s="182"/>
      <c r="E134" s="182"/>
      <c r="F134" s="182"/>
      <c r="G134" s="182"/>
      <c r="H134" s="182"/>
      <c r="I134" s="182"/>
    </row>
    <row r="135" spans="1:11" x14ac:dyDescent="0.2">
      <c r="A135" s="182"/>
      <c r="B135" s="182"/>
      <c r="C135" s="182"/>
      <c r="D135" s="182"/>
      <c r="E135" s="182"/>
      <c r="F135" s="182"/>
      <c r="G135" s="182"/>
      <c r="H135" s="182"/>
      <c r="I135" s="182"/>
    </row>
    <row r="136" spans="1:11" x14ac:dyDescent="0.2">
      <c r="A136" s="182"/>
      <c r="B136" s="182"/>
      <c r="C136" s="182"/>
      <c r="D136" s="182"/>
      <c r="E136" s="182"/>
      <c r="F136" s="182"/>
      <c r="G136" s="182"/>
      <c r="H136" s="182"/>
      <c r="I136" s="182"/>
    </row>
    <row r="137" spans="1:11" x14ac:dyDescent="0.2">
      <c r="A137" s="182"/>
      <c r="B137" s="182"/>
      <c r="C137" s="182"/>
      <c r="D137" s="182"/>
      <c r="E137" s="182"/>
      <c r="F137" s="182"/>
      <c r="G137" s="182"/>
      <c r="H137" s="182"/>
      <c r="I137" s="182"/>
    </row>
    <row r="138" spans="1:11" s="3" customFormat="1" x14ac:dyDescent="0.2">
      <c r="A138" s="182"/>
      <c r="B138" s="182"/>
      <c r="C138" s="182"/>
      <c r="D138" s="182"/>
      <c r="E138" s="182"/>
      <c r="F138" s="182"/>
      <c r="G138" s="182"/>
      <c r="H138" s="182"/>
      <c r="I138" s="182"/>
      <c r="J138" s="29"/>
      <c r="K138" s="29"/>
    </row>
    <row r="139" spans="1:11" s="3" customFormat="1" x14ac:dyDescent="0.2">
      <c r="A139" s="182"/>
      <c r="B139" s="182"/>
      <c r="C139" s="182"/>
      <c r="D139" s="182"/>
      <c r="E139" s="182"/>
      <c r="F139" s="182"/>
      <c r="G139" s="182"/>
      <c r="H139" s="182"/>
      <c r="I139" s="182"/>
      <c r="J139" s="29"/>
      <c r="K139" s="29"/>
    </row>
    <row r="140" spans="1:11" x14ac:dyDescent="0.2">
      <c r="A140" s="182"/>
      <c r="B140" s="182"/>
      <c r="C140" s="182"/>
      <c r="D140" s="182"/>
      <c r="E140" s="182"/>
      <c r="F140" s="182"/>
      <c r="G140" s="182"/>
      <c r="H140" s="182"/>
      <c r="I140" s="182"/>
    </row>
    <row r="141" spans="1:11" s="3" customFormat="1" x14ac:dyDescent="0.2">
      <c r="A141" s="182"/>
      <c r="B141" s="182"/>
      <c r="C141" s="182"/>
      <c r="D141" s="182"/>
      <c r="E141" s="182"/>
      <c r="F141" s="182"/>
      <c r="G141" s="182"/>
      <c r="H141" s="182"/>
      <c r="I141" s="182"/>
      <c r="J141" s="29"/>
      <c r="K141" s="29"/>
    </row>
    <row r="142" spans="1:11" s="3" customFormat="1" x14ac:dyDescent="0.2">
      <c r="A142" s="31"/>
      <c r="B142" s="30"/>
      <c r="C142" s="30"/>
      <c r="D142" s="29"/>
      <c r="E142" s="29"/>
      <c r="F142" s="29"/>
      <c r="G142" s="29"/>
      <c r="H142" s="32"/>
      <c r="I142" s="29"/>
      <c r="J142" s="29"/>
      <c r="K142" s="29"/>
    </row>
    <row r="143" spans="1:11" s="3" customFormat="1" hidden="1" x14ac:dyDescent="0.2">
      <c r="A143" s="31"/>
      <c r="B143" s="30"/>
      <c r="C143" s="30"/>
      <c r="D143" s="29"/>
      <c r="E143" s="29"/>
      <c r="F143" s="29"/>
      <c r="G143" s="29"/>
      <c r="H143" s="29"/>
      <c r="I143" s="29"/>
      <c r="J143" s="29"/>
      <c r="K143" s="29"/>
    </row>
    <row r="144" spans="1:11" s="3" customFormat="1" hidden="1" x14ac:dyDescent="0.2">
      <c r="A144" s="31"/>
      <c r="B144" s="30"/>
      <c r="C144" s="30"/>
      <c r="D144" s="29"/>
      <c r="E144" s="29"/>
      <c r="F144" s="29"/>
      <c r="G144" s="29"/>
      <c r="H144" s="29"/>
      <c r="I144" s="29"/>
      <c r="J144" s="29"/>
      <c r="K144" s="29"/>
    </row>
    <row r="145" spans="1:11" s="3" customFormat="1" hidden="1" x14ac:dyDescent="0.2">
      <c r="A145" s="31"/>
      <c r="B145" s="30"/>
      <c r="C145" s="30"/>
      <c r="D145" s="29"/>
      <c r="E145" s="29"/>
      <c r="F145" s="29"/>
      <c r="G145" s="29"/>
      <c r="H145" s="29"/>
      <c r="I145" s="29"/>
      <c r="J145" s="29"/>
      <c r="K145" s="29"/>
    </row>
    <row r="146" spans="1:11" s="3" customFormat="1" hidden="1" x14ac:dyDescent="0.2">
      <c r="A146" s="31"/>
      <c r="B146" s="30"/>
      <c r="C146" s="30"/>
      <c r="D146" s="29"/>
      <c r="E146" s="29"/>
      <c r="F146" s="29"/>
      <c r="G146" s="29"/>
      <c r="H146" s="29"/>
      <c r="I146" s="29"/>
      <c r="J146" s="29"/>
      <c r="K146" s="29"/>
    </row>
    <row r="147" spans="1:11" s="3" customFormat="1" hidden="1" x14ac:dyDescent="0.2">
      <c r="A147" s="31"/>
      <c r="B147" s="30"/>
      <c r="C147" s="30"/>
      <c r="D147" s="29"/>
      <c r="E147" s="29"/>
      <c r="F147" s="29"/>
      <c r="G147" s="29"/>
      <c r="H147" s="29"/>
      <c r="I147" s="29"/>
      <c r="J147" s="29"/>
      <c r="K147" s="29"/>
    </row>
    <row r="148" spans="1:11" s="3" customFormat="1" hidden="1" x14ac:dyDescent="0.2">
      <c r="A148" s="31"/>
      <c r="B148" s="30"/>
      <c r="C148" s="30"/>
      <c r="D148" s="29"/>
      <c r="E148" s="29"/>
      <c r="F148" s="29"/>
      <c r="G148" s="29"/>
      <c r="H148" s="29"/>
      <c r="I148" s="29"/>
      <c r="J148" s="29"/>
      <c r="K148" s="29"/>
    </row>
    <row r="149" spans="1:11" s="3" customFormat="1" hidden="1" x14ac:dyDescent="0.2">
      <c r="A149" s="31"/>
      <c r="B149" s="30"/>
      <c r="C149" s="30"/>
      <c r="D149" s="29"/>
      <c r="E149" s="29"/>
      <c r="F149" s="29"/>
      <c r="G149" s="29"/>
      <c r="H149" s="29"/>
      <c r="I149" s="29"/>
      <c r="J149" s="29"/>
      <c r="K149" s="29"/>
    </row>
    <row r="150" spans="1:11" s="3" customFormat="1" hidden="1" x14ac:dyDescent="0.2">
      <c r="A150" s="31"/>
      <c r="B150" s="30"/>
      <c r="C150" s="30"/>
      <c r="D150" s="29"/>
      <c r="E150" s="29"/>
      <c r="F150" s="29"/>
      <c r="G150" s="29"/>
      <c r="H150" s="29"/>
      <c r="I150" s="29"/>
      <c r="J150" s="29"/>
      <c r="K150" s="29"/>
    </row>
    <row r="151" spans="1:11" s="3" customFormat="1" hidden="1" x14ac:dyDescent="0.2">
      <c r="A151" s="31"/>
      <c r="B151" s="30"/>
      <c r="C151" s="30"/>
      <c r="D151" s="29"/>
      <c r="E151" s="29"/>
      <c r="F151" s="29"/>
      <c r="G151" s="29"/>
      <c r="H151" s="29"/>
      <c r="I151" s="29"/>
      <c r="J151" s="29"/>
      <c r="K151" s="29"/>
    </row>
    <row r="152" spans="1:11" s="3" customFormat="1" hidden="1" x14ac:dyDescent="0.2">
      <c r="A152" s="31"/>
      <c r="B152" s="30"/>
      <c r="C152" s="30"/>
      <c r="D152" s="29"/>
      <c r="E152" s="29"/>
      <c r="F152" s="29"/>
      <c r="G152" s="29"/>
      <c r="H152" s="29"/>
      <c r="I152" s="29"/>
      <c r="J152" s="29"/>
      <c r="K152" s="29"/>
    </row>
    <row r="153" spans="1:11" s="3" customFormat="1" hidden="1" x14ac:dyDescent="0.2">
      <c r="A153" s="31"/>
      <c r="B153" s="30"/>
      <c r="C153" s="30"/>
      <c r="D153" s="29"/>
      <c r="E153" s="29"/>
      <c r="F153" s="29"/>
      <c r="G153" s="29"/>
      <c r="H153" s="29"/>
      <c r="I153" s="29"/>
      <c r="J153" s="29"/>
      <c r="K153" s="29"/>
    </row>
    <row r="154" spans="1:11" s="3" customFormat="1" hidden="1" x14ac:dyDescent="0.2">
      <c r="A154" s="31"/>
      <c r="B154" s="30"/>
      <c r="C154" s="30"/>
      <c r="D154" s="29"/>
      <c r="E154" s="29"/>
      <c r="F154" s="29"/>
      <c r="G154" s="29"/>
      <c r="H154" s="29"/>
      <c r="I154" s="29"/>
      <c r="J154" s="29"/>
      <c r="K154" s="29"/>
    </row>
    <row r="155" spans="1:11" s="3" customFormat="1" hidden="1" x14ac:dyDescent="0.2">
      <c r="A155" s="31"/>
      <c r="B155" s="30"/>
      <c r="C155" s="30"/>
      <c r="D155" s="29"/>
      <c r="E155" s="29"/>
      <c r="F155" s="29"/>
      <c r="G155" s="29"/>
      <c r="H155" s="29"/>
      <c r="I155" s="29"/>
      <c r="J155" s="29"/>
      <c r="K155" s="29"/>
    </row>
    <row r="156" spans="1:11" s="3" customFormat="1" hidden="1" x14ac:dyDescent="0.2">
      <c r="A156" s="31"/>
      <c r="B156" s="30"/>
      <c r="C156" s="30"/>
      <c r="D156" s="29"/>
      <c r="E156" s="29"/>
      <c r="F156" s="29"/>
      <c r="G156" s="29"/>
      <c r="H156" s="29"/>
      <c r="I156" s="29"/>
      <c r="J156" s="29"/>
      <c r="K156" s="29"/>
    </row>
    <row r="157" spans="1:11" s="3" customFormat="1" hidden="1" x14ac:dyDescent="0.2">
      <c r="A157" s="31"/>
      <c r="B157" s="30"/>
      <c r="C157" s="30"/>
      <c r="D157" s="29"/>
      <c r="E157" s="29"/>
      <c r="F157" s="29"/>
      <c r="G157" s="29"/>
      <c r="H157" s="29"/>
      <c r="I157" s="29"/>
      <c r="J157" s="29"/>
      <c r="K157" s="29"/>
    </row>
    <row r="158" spans="1:11" s="3" customFormat="1" hidden="1" x14ac:dyDescent="0.2">
      <c r="A158" s="31"/>
      <c r="B158" s="30"/>
      <c r="C158" s="30"/>
      <c r="D158" s="29"/>
      <c r="E158" s="29"/>
      <c r="F158" s="29"/>
      <c r="G158" s="29"/>
      <c r="H158" s="29"/>
      <c r="I158" s="29"/>
      <c r="J158" s="29"/>
      <c r="K158" s="29"/>
    </row>
    <row r="159" spans="1:11" s="3" customFormat="1" hidden="1" x14ac:dyDescent="0.2">
      <c r="A159" s="31"/>
      <c r="B159" s="30"/>
      <c r="C159" s="30"/>
      <c r="D159" s="29"/>
      <c r="E159" s="29"/>
      <c r="F159" s="29"/>
      <c r="G159" s="29"/>
      <c r="H159" s="29"/>
      <c r="I159" s="29"/>
      <c r="J159" s="29"/>
      <c r="K159" s="29"/>
    </row>
    <row r="160" spans="1:11" s="3" customFormat="1" hidden="1" x14ac:dyDescent="0.2">
      <c r="A160" s="31"/>
      <c r="B160" s="30"/>
      <c r="C160" s="30"/>
      <c r="D160" s="29"/>
      <c r="E160" s="29"/>
      <c r="F160" s="29"/>
      <c r="G160" s="29"/>
      <c r="H160" s="29"/>
      <c r="I160" s="29"/>
      <c r="J160" s="29"/>
      <c r="K160" s="29"/>
    </row>
    <row r="161" spans="1:11" s="3" customFormat="1" hidden="1" x14ac:dyDescent="0.2">
      <c r="A161" s="31"/>
      <c r="B161" s="30"/>
      <c r="C161" s="30"/>
      <c r="D161" s="29"/>
      <c r="E161" s="29"/>
      <c r="F161" s="29"/>
      <c r="G161" s="29"/>
      <c r="H161" s="29"/>
      <c r="I161" s="29"/>
      <c r="J161" s="29"/>
      <c r="K161" s="29"/>
    </row>
    <row r="162" spans="1:11" s="3" customFormat="1" hidden="1" x14ac:dyDescent="0.2">
      <c r="A162" s="31"/>
      <c r="B162" s="30"/>
      <c r="C162" s="30"/>
      <c r="D162" s="29"/>
      <c r="E162" s="29"/>
      <c r="F162" s="29"/>
      <c r="G162" s="29"/>
      <c r="H162" s="29"/>
      <c r="I162" s="29"/>
      <c r="J162" s="29"/>
      <c r="K162" s="29"/>
    </row>
    <row r="163" spans="1:11" s="3" customFormat="1" hidden="1" x14ac:dyDescent="0.2">
      <c r="A163" s="31"/>
      <c r="B163" s="30"/>
      <c r="C163" s="30"/>
      <c r="D163" s="29"/>
      <c r="E163" s="29"/>
      <c r="F163" s="29"/>
      <c r="G163" s="29"/>
      <c r="H163" s="29"/>
      <c r="I163" s="29"/>
      <c r="J163" s="29"/>
      <c r="K163" s="29"/>
    </row>
    <row r="164" spans="1:11" s="3" customFormat="1" hidden="1" x14ac:dyDescent="0.2">
      <c r="A164" s="31"/>
      <c r="B164" s="30"/>
      <c r="C164" s="30"/>
      <c r="D164" s="29"/>
      <c r="E164" s="29"/>
      <c r="F164" s="29"/>
      <c r="G164" s="29"/>
      <c r="H164" s="29"/>
      <c r="I164" s="29"/>
      <c r="J164" s="29"/>
      <c r="K164" s="29"/>
    </row>
    <row r="165" spans="1:11" s="3" customFormat="1" hidden="1" x14ac:dyDescent="0.2">
      <c r="A165" s="31"/>
      <c r="B165" s="30"/>
      <c r="C165" s="30"/>
      <c r="D165" s="29"/>
      <c r="E165" s="29"/>
      <c r="F165" s="29"/>
      <c r="G165" s="29"/>
      <c r="H165" s="29"/>
      <c r="I165" s="29"/>
      <c r="J165" s="29"/>
      <c r="K165" s="29"/>
    </row>
    <row r="166" spans="1:11" s="3" customFormat="1" hidden="1" x14ac:dyDescent="0.2">
      <c r="A166" s="31"/>
      <c r="B166" s="30"/>
      <c r="C166" s="30"/>
      <c r="D166" s="29"/>
      <c r="E166" s="29"/>
      <c r="F166" s="29"/>
      <c r="G166" s="29"/>
      <c r="H166" s="29"/>
      <c r="I166" s="29"/>
      <c r="J166" s="29"/>
      <c r="K166" s="29"/>
    </row>
    <row r="167" spans="1:11" s="3" customFormat="1" hidden="1" x14ac:dyDescent="0.2">
      <c r="A167" s="31"/>
      <c r="B167" s="30"/>
      <c r="C167" s="30"/>
      <c r="D167" s="29"/>
      <c r="E167" s="29"/>
      <c r="F167" s="29"/>
      <c r="G167" s="29"/>
      <c r="H167" s="29"/>
      <c r="I167" s="29"/>
      <c r="J167" s="29"/>
      <c r="K167" s="29"/>
    </row>
    <row r="168" spans="1:11" s="3" customFormat="1" hidden="1" x14ac:dyDescent="0.2">
      <c r="A168" s="31"/>
      <c r="B168" s="29"/>
      <c r="C168" s="29"/>
      <c r="D168" s="29"/>
      <c r="E168" s="29"/>
      <c r="F168" s="29"/>
      <c r="G168" s="29"/>
      <c r="H168" s="29"/>
      <c r="I168" s="29"/>
      <c r="J168" s="29"/>
      <c r="K168" s="29"/>
    </row>
    <row r="169" spans="1:11" s="3" customFormat="1" hidden="1" x14ac:dyDescent="0.2">
      <c r="A169" s="31"/>
      <c r="B169" s="29"/>
      <c r="C169" s="29"/>
      <c r="D169" s="29"/>
      <c r="E169" s="29"/>
      <c r="F169" s="29"/>
      <c r="G169" s="29"/>
      <c r="H169" s="29"/>
      <c r="I169" s="29"/>
      <c r="J169" s="29"/>
      <c r="K169" s="29"/>
    </row>
    <row r="170" spans="1:11" s="35" customFormat="1" hidden="1" x14ac:dyDescent="0.25">
      <c r="A170" s="33"/>
      <c r="B170" s="34"/>
      <c r="C170" s="34"/>
      <c r="D170" s="34"/>
      <c r="E170" s="34"/>
      <c r="F170" s="34"/>
      <c r="G170" s="34"/>
      <c r="H170" s="34"/>
      <c r="I170" s="34"/>
      <c r="J170" s="32"/>
      <c r="K170" s="32"/>
    </row>
    <row r="171" spans="1:11" s="3" customFormat="1" hidden="1" x14ac:dyDescent="0.2">
      <c r="A171" s="29"/>
      <c r="B171" s="31"/>
      <c r="C171" s="31"/>
      <c r="D171" s="31"/>
      <c r="E171" s="31"/>
      <c r="F171" s="31"/>
      <c r="G171" s="31"/>
      <c r="H171" s="30"/>
      <c r="I171" s="30"/>
      <c r="J171" s="29"/>
      <c r="K171" s="29"/>
    </row>
    <row r="172" spans="1:11" s="3" customFormat="1" hidden="1" x14ac:dyDescent="0.2">
      <c r="A172" s="29"/>
      <c r="B172" s="31"/>
      <c r="C172" s="31"/>
      <c r="D172" s="31"/>
      <c r="E172" s="31"/>
      <c r="F172" s="31"/>
      <c r="G172" s="31"/>
      <c r="H172" s="30"/>
      <c r="I172" s="30"/>
      <c r="J172" s="29"/>
      <c r="K172" s="29"/>
    </row>
    <row r="173" spans="1:11" s="3" customFormat="1" hidden="1" x14ac:dyDescent="0.2">
      <c r="A173" s="29"/>
      <c r="B173" s="31"/>
      <c r="C173" s="31"/>
      <c r="D173" s="31"/>
      <c r="E173" s="31"/>
      <c r="F173" s="31"/>
      <c r="G173" s="31"/>
      <c r="H173" s="30"/>
      <c r="I173" s="30"/>
      <c r="J173" s="29"/>
      <c r="K173" s="29"/>
    </row>
    <row r="174" spans="1:11" s="3" customFormat="1" hidden="1" x14ac:dyDescent="0.2">
      <c r="A174" s="34"/>
      <c r="B174" s="34"/>
      <c r="C174" s="34"/>
      <c r="D174" s="34"/>
      <c r="E174" s="34"/>
      <c r="F174" s="34"/>
      <c r="G174" s="34"/>
      <c r="H174" s="34"/>
      <c r="I174" s="34"/>
      <c r="J174" s="29"/>
      <c r="K174" s="29"/>
    </row>
    <row r="175" spans="1:11" s="3" customFormat="1" hidden="1" x14ac:dyDescent="0.2">
      <c r="A175" s="29"/>
      <c r="B175" s="31"/>
      <c r="C175" s="31"/>
      <c r="D175" s="31"/>
      <c r="E175" s="31"/>
      <c r="F175" s="31"/>
      <c r="G175" s="31"/>
      <c r="H175" s="30"/>
      <c r="I175" s="30"/>
      <c r="J175" s="29"/>
      <c r="K175" s="29"/>
    </row>
    <row r="176" spans="1:11" s="3" customFormat="1" hidden="1" x14ac:dyDescent="0.2">
      <c r="A176" s="29"/>
      <c r="B176" s="31"/>
      <c r="C176" s="31"/>
      <c r="D176" s="31"/>
      <c r="E176" s="31"/>
      <c r="F176" s="31"/>
      <c r="G176" s="31"/>
      <c r="H176" s="30"/>
      <c r="I176" s="30"/>
      <c r="J176" s="29"/>
      <c r="K176" s="29"/>
    </row>
    <row r="177" spans="1:11" s="3" customFormat="1" hidden="1" x14ac:dyDescent="0.2">
      <c r="A177" s="29"/>
      <c r="B177" s="31"/>
      <c r="C177" s="31"/>
      <c r="D177" s="31"/>
      <c r="E177" s="31"/>
      <c r="F177" s="31"/>
      <c r="G177" s="31"/>
      <c r="H177" s="30"/>
      <c r="I177" s="30"/>
      <c r="J177" s="29"/>
      <c r="K177" s="29"/>
    </row>
    <row r="178" spans="1:11" s="3" customFormat="1" hidden="1" x14ac:dyDescent="0.2">
      <c r="A178" s="29"/>
      <c r="B178" s="31"/>
      <c r="C178" s="31"/>
      <c r="D178" s="31"/>
      <c r="E178" s="31"/>
      <c r="F178" s="31"/>
      <c r="G178" s="31"/>
      <c r="H178" s="30"/>
      <c r="I178" s="30"/>
      <c r="J178" s="29"/>
      <c r="K178" s="29"/>
    </row>
    <row r="179" spans="1:11" s="3" customFormat="1" hidden="1" x14ac:dyDescent="0.2">
      <c r="A179" s="29"/>
      <c r="B179" s="31"/>
      <c r="C179" s="31"/>
      <c r="D179" s="31"/>
      <c r="E179" s="31"/>
      <c r="F179" s="31"/>
      <c r="G179" s="31"/>
      <c r="H179" s="30"/>
      <c r="I179" s="30"/>
      <c r="J179" s="29"/>
      <c r="K179" s="29"/>
    </row>
    <row r="180" spans="1:11" s="3" customFormat="1" hidden="1" x14ac:dyDescent="0.2">
      <c r="A180" s="29"/>
      <c r="B180" s="31"/>
      <c r="C180" s="31"/>
      <c r="D180" s="31"/>
      <c r="E180" s="31"/>
      <c r="F180" s="31"/>
      <c r="G180" s="31"/>
      <c r="H180" s="30"/>
      <c r="I180" s="30"/>
      <c r="J180" s="29"/>
      <c r="K180" s="29"/>
    </row>
    <row r="181" spans="1:11" s="3" customFormat="1" hidden="1" x14ac:dyDescent="0.2">
      <c r="A181" s="29"/>
      <c r="B181" s="31"/>
      <c r="C181" s="31"/>
      <c r="D181" s="31"/>
      <c r="E181" s="31"/>
      <c r="F181" s="31"/>
      <c r="G181" s="31"/>
      <c r="H181" s="30"/>
      <c r="I181" s="30"/>
      <c r="J181" s="29"/>
      <c r="K181" s="29"/>
    </row>
    <row r="182" spans="1:11" s="3" customFormat="1" hidden="1" x14ac:dyDescent="0.2">
      <c r="A182" s="29"/>
      <c r="B182" s="31"/>
      <c r="C182" s="31"/>
      <c r="D182" s="31"/>
      <c r="E182" s="31"/>
      <c r="F182" s="31"/>
      <c r="G182" s="31"/>
      <c r="H182" s="30"/>
      <c r="I182" s="30"/>
      <c r="J182" s="29"/>
      <c r="K182" s="29"/>
    </row>
    <row r="183" spans="1:11" s="3" customFormat="1" hidden="1" x14ac:dyDescent="0.2">
      <c r="A183" s="29"/>
      <c r="B183" s="31"/>
      <c r="C183" s="31"/>
      <c r="D183" s="31"/>
      <c r="E183" s="31"/>
      <c r="F183" s="31"/>
      <c r="G183" s="31"/>
      <c r="H183" s="30"/>
      <c r="I183" s="30"/>
      <c r="J183" s="29"/>
      <c r="K183" s="29"/>
    </row>
    <row r="184" spans="1:11" s="3" customFormat="1" hidden="1" x14ac:dyDescent="0.2">
      <c r="A184" s="29"/>
      <c r="B184" s="31"/>
      <c r="C184" s="31"/>
      <c r="D184" s="31"/>
      <c r="E184" s="31"/>
      <c r="F184" s="31"/>
      <c r="G184" s="31"/>
      <c r="H184" s="30"/>
      <c r="I184" s="30"/>
      <c r="J184" s="29"/>
      <c r="K184" s="29"/>
    </row>
    <row r="185" spans="1:11" s="3" customFormat="1" hidden="1" x14ac:dyDescent="0.2">
      <c r="A185" s="29"/>
      <c r="B185" s="31"/>
      <c r="C185" s="31"/>
      <c r="D185" s="31"/>
      <c r="E185" s="31"/>
      <c r="F185" s="31"/>
      <c r="G185" s="31"/>
      <c r="H185" s="30"/>
      <c r="I185" s="30"/>
      <c r="J185" s="29"/>
      <c r="K185" s="29"/>
    </row>
    <row r="186" spans="1:11" s="3" customFormat="1" hidden="1" x14ac:dyDescent="0.2">
      <c r="A186" s="29"/>
      <c r="B186" s="31"/>
      <c r="C186" s="31"/>
      <c r="D186" s="31"/>
      <c r="E186" s="31"/>
      <c r="F186" s="31"/>
      <c r="G186" s="31"/>
      <c r="H186" s="30"/>
      <c r="I186" s="30"/>
      <c r="J186" s="29"/>
      <c r="K186" s="29"/>
    </row>
    <row r="187" spans="1:11" s="3" customFormat="1" hidden="1" x14ac:dyDescent="0.2">
      <c r="A187" s="29"/>
      <c r="B187" s="31"/>
      <c r="C187" s="31"/>
      <c r="D187" s="31"/>
      <c r="E187" s="31"/>
      <c r="F187" s="31"/>
      <c r="G187" s="31"/>
      <c r="H187" s="30"/>
      <c r="I187" s="30"/>
      <c r="J187" s="29"/>
      <c r="K187" s="29"/>
    </row>
    <row r="188" spans="1:11" s="3" customFormat="1" hidden="1" x14ac:dyDescent="0.2">
      <c r="A188" s="29"/>
      <c r="B188" s="31"/>
      <c r="C188" s="31"/>
      <c r="D188" s="31"/>
      <c r="E188" s="31"/>
      <c r="F188" s="31"/>
      <c r="G188" s="31"/>
      <c r="H188" s="30"/>
      <c r="I188" s="30"/>
      <c r="J188" s="29"/>
      <c r="K188" s="29"/>
    </row>
    <row r="189" spans="1:11" s="3" customFormat="1" hidden="1" x14ac:dyDescent="0.2">
      <c r="A189" s="29"/>
      <c r="B189" s="31"/>
      <c r="C189" s="31"/>
      <c r="D189" s="31"/>
      <c r="E189" s="31"/>
      <c r="F189" s="31"/>
      <c r="G189" s="31"/>
      <c r="H189" s="30"/>
      <c r="I189" s="30"/>
      <c r="J189" s="29"/>
      <c r="K189" s="29"/>
    </row>
    <row r="190" spans="1:11" s="3" customFormat="1" hidden="1" x14ac:dyDescent="0.2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</row>
    <row r="191" spans="1:11" s="3" customFormat="1" hidden="1" x14ac:dyDescent="0.2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</row>
    <row r="192" spans="1:11" s="3" customFormat="1" hidden="1" x14ac:dyDescent="0.2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</row>
    <row r="193" spans="1:11" s="3" customFormat="1" hidden="1" x14ac:dyDescent="0.2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</row>
    <row r="194" spans="1:11" s="3" customFormat="1" hidden="1" x14ac:dyDescent="0.2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</row>
    <row r="195" spans="1:11" s="3" customFormat="1" hidden="1" x14ac:dyDescent="0.2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</row>
    <row r="196" spans="1:11" s="3" customFormat="1" hidden="1" x14ac:dyDescent="0.2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</row>
    <row r="197" spans="1:11" s="3" customFormat="1" hidden="1" x14ac:dyDescent="0.2">
      <c r="A197" s="29"/>
      <c r="B197" s="29"/>
      <c r="C197" s="29"/>
      <c r="D197" s="29"/>
      <c r="J197" s="29"/>
      <c r="K197" s="29"/>
    </row>
    <row r="198" spans="1:11" s="3" customFormat="1" hidden="1" x14ac:dyDescent="0.2">
      <c r="A198" s="29"/>
      <c r="B198" s="29"/>
      <c r="C198" s="29"/>
      <c r="D198" s="29"/>
      <c r="J198" s="29"/>
      <c r="K198" s="29"/>
    </row>
    <row r="199" spans="1:11" s="3" customFormat="1" hidden="1" x14ac:dyDescent="0.2">
      <c r="A199" s="29"/>
      <c r="B199" s="29"/>
      <c r="C199" s="29"/>
      <c r="D199" s="29"/>
      <c r="J199" s="29"/>
      <c r="K199" s="29"/>
    </row>
    <row r="200" spans="1:11" s="3" customFormat="1" hidden="1" x14ac:dyDescent="0.2">
      <c r="A200" s="29"/>
      <c r="B200" s="29"/>
      <c r="C200" s="29"/>
      <c r="D200" s="29"/>
      <c r="J200" s="29"/>
      <c r="K200" s="29"/>
    </row>
    <row r="201" spans="1:11" s="3" customFormat="1" hidden="1" x14ac:dyDescent="0.2">
      <c r="A201" s="29"/>
      <c r="B201" s="29"/>
      <c r="C201" s="29"/>
      <c r="D201" s="29"/>
      <c r="J201" s="29"/>
      <c r="K201" s="29"/>
    </row>
    <row r="202" spans="1:11" s="3" customFormat="1" hidden="1" x14ac:dyDescent="0.2">
      <c r="A202" s="29"/>
      <c r="B202" s="29"/>
      <c r="C202" s="29"/>
      <c r="D202" s="29"/>
      <c r="J202" s="29"/>
      <c r="K202" s="29"/>
    </row>
    <row r="203" spans="1:11" s="3" customFormat="1" hidden="1" x14ac:dyDescent="0.2">
      <c r="A203" s="29"/>
      <c r="B203" s="29"/>
      <c r="C203" s="29"/>
      <c r="D203" s="29"/>
      <c r="J203" s="29"/>
      <c r="K203" s="29"/>
    </row>
    <row r="204" spans="1:11" s="3" customFormat="1" hidden="1" x14ac:dyDescent="0.2">
      <c r="A204" s="29"/>
      <c r="B204" s="29"/>
      <c r="C204" s="29"/>
      <c r="D204" s="29"/>
      <c r="J204" s="29"/>
      <c r="K204" s="29"/>
    </row>
    <row r="205" spans="1:11" s="3" customFormat="1" hidden="1" x14ac:dyDescent="0.2">
      <c r="A205" s="29"/>
      <c r="B205" s="29"/>
      <c r="C205" s="29"/>
      <c r="D205" s="29"/>
      <c r="J205" s="29"/>
      <c r="K205" s="29"/>
    </row>
    <row r="206" spans="1:11" s="3" customFormat="1" hidden="1" x14ac:dyDescent="0.2">
      <c r="A206" s="29"/>
      <c r="B206" s="29"/>
      <c r="C206" s="29"/>
      <c r="D206" s="29"/>
      <c r="J206" s="29"/>
      <c r="K206" s="29"/>
    </row>
    <row r="207" spans="1:11" s="3" customFormat="1" hidden="1" x14ac:dyDescent="0.2">
      <c r="A207" s="29"/>
      <c r="B207" s="29"/>
      <c r="C207" s="29"/>
      <c r="D207" s="29"/>
      <c r="J207" s="29"/>
      <c r="K207" s="29"/>
    </row>
    <row r="208" spans="1:11" s="3" customFormat="1" hidden="1" x14ac:dyDescent="0.2">
      <c r="A208" s="29"/>
      <c r="B208" s="29"/>
      <c r="C208" s="29"/>
      <c r="D208" s="29"/>
      <c r="J208" s="29"/>
      <c r="K208" s="29"/>
    </row>
    <row r="209" spans="1:11" s="3" customFormat="1" hidden="1" x14ac:dyDescent="0.2">
      <c r="A209" s="29"/>
      <c r="B209" s="29"/>
      <c r="C209" s="29"/>
      <c r="D209" s="29"/>
      <c r="J209" s="29"/>
      <c r="K209" s="29"/>
    </row>
    <row r="210" spans="1:11" s="3" customFormat="1" hidden="1" x14ac:dyDescent="0.2"/>
    <row r="211" spans="1:11" s="3" customFormat="1" hidden="1" x14ac:dyDescent="0.2"/>
    <row r="212" spans="1:11" s="3" customFormat="1" hidden="1" x14ac:dyDescent="0.2"/>
    <row r="213" spans="1:11" s="3" customFormat="1" hidden="1" x14ac:dyDescent="0.2"/>
    <row r="214" spans="1:11" s="3" customFormat="1" hidden="1" x14ac:dyDescent="0.2"/>
    <row r="215" spans="1:11" x14ac:dyDescent="0.2"/>
  </sheetData>
  <sheetProtection selectLockedCells="1" selectUnlockedCells="1"/>
  <mergeCells count="57">
    <mergeCell ref="B6:I6"/>
    <mergeCell ref="B7:I7"/>
    <mergeCell ref="B14:C14"/>
    <mergeCell ref="D14:E14"/>
    <mergeCell ref="F14:G14"/>
    <mergeCell ref="H14:I14"/>
    <mergeCell ref="F13:G13"/>
    <mergeCell ref="H13:I13"/>
    <mergeCell ref="B10:C10"/>
    <mergeCell ref="D10:E10"/>
    <mergeCell ref="F10:G10"/>
    <mergeCell ref="H10:I10"/>
    <mergeCell ref="B11:C11"/>
    <mergeCell ref="D11:E11"/>
    <mergeCell ref="F11:G11"/>
    <mergeCell ref="H11:I11"/>
    <mergeCell ref="A108:I108"/>
    <mergeCell ref="A109:I109"/>
    <mergeCell ref="A19:A20"/>
    <mergeCell ref="B19:C19"/>
    <mergeCell ref="D19:E19"/>
    <mergeCell ref="F19:G19"/>
    <mergeCell ref="H19:I19"/>
    <mergeCell ref="B15:C15"/>
    <mergeCell ref="D15:E15"/>
    <mergeCell ref="F15:G15"/>
    <mergeCell ref="H15:I15"/>
    <mergeCell ref="B12:C12"/>
    <mergeCell ref="D12:E12"/>
    <mergeCell ref="F12:G12"/>
    <mergeCell ref="H12:I12"/>
    <mergeCell ref="B13:C13"/>
    <mergeCell ref="D13:E13"/>
    <mergeCell ref="B8:C8"/>
    <mergeCell ref="D8:E8"/>
    <mergeCell ref="F8:G8"/>
    <mergeCell ref="H8:I8"/>
    <mergeCell ref="B9:C9"/>
    <mergeCell ref="D9:E9"/>
    <mergeCell ref="F9:G9"/>
    <mergeCell ref="H9:I9"/>
    <mergeCell ref="A4:A5"/>
    <mergeCell ref="B4:I4"/>
    <mergeCell ref="B5:C5"/>
    <mergeCell ref="D5:E5"/>
    <mergeCell ref="F5:G5"/>
    <mergeCell ref="H5:I5"/>
    <mergeCell ref="A117:I119"/>
    <mergeCell ref="A122:I141"/>
    <mergeCell ref="A110:I114"/>
    <mergeCell ref="A120:I121"/>
    <mergeCell ref="A115:I116"/>
    <mergeCell ref="B16:C16"/>
    <mergeCell ref="D16:E16"/>
    <mergeCell ref="F16:G16"/>
    <mergeCell ref="H16:I16"/>
    <mergeCell ref="A17:I17"/>
  </mergeCells>
  <dataValidations count="14">
    <dataValidation type="decimal" operator="lessThanOrEqual" allowBlank="1" showInputMessage="1" showErrorMessage="1" sqref="H9 B9 D9 F9" xr:uid="{00000000-0002-0000-0200-000002000000}">
      <formula1>3</formula1>
    </dataValidation>
    <dataValidation type="list" allowBlank="1" showInputMessage="1" showErrorMessage="1" sqref="B13 D13 F13 H13" xr:uid="{00000000-0002-0000-0200-000003000000}">
      <formula1>"да, нет"</formula1>
    </dataValidation>
    <dataValidation type="list" allowBlank="1" showInputMessage="1" showErrorMessage="1" sqref="B6:I6" xr:uid="{00000000-0002-0000-0200-000004000000}">
      <formula1>CCCMT</formula1>
    </dataValidation>
    <dataValidation type="list" allowBlank="1" showInputMessage="1" showErrorMessage="1" sqref="B7:I7" xr:uid="{00000000-0002-0000-0200-000005000000}">
      <formula1>RWIPI</formula1>
    </dataValidation>
    <dataValidation type="list" allowBlank="1" showInputMessage="1" showErrorMessage="1" sqref="B8:C8" xr:uid="{00000000-0002-0000-0200-000006000000}">
      <formula1>FYLTY</formula1>
    </dataValidation>
    <dataValidation type="list" allowBlank="1" showInputMessage="1" showErrorMessage="1" sqref="D8:E8" xr:uid="{00000000-0002-0000-0200-000007000000}">
      <formula1>SACMX</formula1>
    </dataValidation>
    <dataValidation type="list" allowBlank="1" showInputMessage="1" showErrorMessage="1" sqref="F8:G8" xr:uid="{00000000-0002-0000-0200-000008000000}">
      <formula1>XCECV</formula1>
    </dataValidation>
    <dataValidation type="list" allowBlank="1" showInputMessage="1" showErrorMessage="1" sqref="H8:I8" xr:uid="{00000000-0002-0000-0200-000009000000}">
      <formula1>LHMNL</formula1>
    </dataValidation>
    <dataValidation type="list" allowBlank="1" showInputMessage="1" showErrorMessage="1" sqref="B14:I14" xr:uid="{00000000-0002-0000-0200-00000A000000}">
      <formula1>RRWVS</formula1>
    </dataValidation>
    <dataValidation type="list" allowBlank="1" showInputMessage="1" showErrorMessage="1" sqref="B15:I15" xr:uid="{00000000-0002-0000-0200-00000B000000}">
      <formula1>VNVOX</formula1>
    </dataValidation>
    <dataValidation type="list" allowBlank="1" showInputMessage="1" showErrorMessage="1" sqref="B16:C16" xr:uid="{00000000-0002-0000-0200-00000C000000}">
      <formula1>BTYPS</formula1>
    </dataValidation>
    <dataValidation type="list" allowBlank="1" showInputMessage="1" showErrorMessage="1" sqref="D16:E16" xr:uid="{00000000-0002-0000-0200-00000D000000}">
      <formula1>MUGNQ</formula1>
    </dataValidation>
    <dataValidation type="list" allowBlank="1" showInputMessage="1" showErrorMessage="1" sqref="F16:G16" xr:uid="{00000000-0002-0000-0200-00000E000000}">
      <formula1>IANCJ</formula1>
    </dataValidation>
    <dataValidation type="list" allowBlank="1" showInputMessage="1" showErrorMessage="1" sqref="H16:I16" xr:uid="{00000000-0002-0000-0200-00000F000000}">
      <formula1>CEXUI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6" firstPageNumber="0" fitToHeight="2" orientation="portrait" horizontalDpi="300" verticalDpi="300" r:id="rId1"/>
  <headerFooter scaleWithDoc="0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9CC00"/>
    <pageSetUpPr fitToPage="1"/>
  </sheetPr>
  <dimension ref="A1:AD172"/>
  <sheetViews>
    <sheetView showGridLines="0" zoomScale="85" zoomScaleNormal="85" zoomScaleSheetLayoutView="50" zoomScalePageLayoutView="55" workbookViewId="0">
      <pane ySplit="14" topLeftCell="A15" activePane="bottomLeft" state="frozen"/>
      <selection pane="bottomLeft"/>
    </sheetView>
  </sheetViews>
  <sheetFormatPr defaultColWidth="0" defaultRowHeight="12.75" zeroHeight="1" x14ac:dyDescent="0.2"/>
  <cols>
    <col min="1" max="1" width="63.140625" style="2" customWidth="1"/>
    <col min="2" max="2" width="14" style="2" customWidth="1"/>
    <col min="3" max="3" width="13.140625" style="2" customWidth="1"/>
    <col min="4" max="4" width="15.5703125" style="2" customWidth="1"/>
    <col min="5" max="6" width="14.42578125" style="2" customWidth="1"/>
    <col min="7" max="7" width="12.5703125" style="2" customWidth="1"/>
    <col min="8" max="8" width="13.5703125" style="2" customWidth="1"/>
    <col min="9" max="9" width="14.85546875" style="2" customWidth="1"/>
    <col min="10" max="10" width="20.7109375" style="2" bestFit="1" customWidth="1"/>
    <col min="11" max="11" width="15.42578125" style="2" hidden="1" customWidth="1"/>
    <col min="12" max="12" width="9" style="2" hidden="1" customWidth="1"/>
    <col min="13" max="13" width="13.85546875" style="2" hidden="1" customWidth="1"/>
    <col min="14" max="14" width="10.85546875" style="2" hidden="1" customWidth="1"/>
    <col min="15" max="18" width="9.140625" style="2" hidden="1" customWidth="1"/>
    <col min="19" max="30" width="0" style="2" hidden="1" customWidth="1"/>
    <col min="31" max="16384" width="9.140625" style="2" hidden="1"/>
  </cols>
  <sheetData>
    <row r="1" spans="1:11" x14ac:dyDescent="0.2">
      <c r="A1" s="152">
        <v>45273</v>
      </c>
      <c r="B1" s="104"/>
      <c r="C1" s="104"/>
      <c r="D1" s="104"/>
      <c r="E1" s="1"/>
      <c r="F1" s="1"/>
      <c r="H1" s="49"/>
      <c r="I1" s="4"/>
    </row>
    <row r="2" spans="1:11" ht="27" customHeight="1" thickBot="1" x14ac:dyDescent="0.25">
      <c r="A2" s="111" t="s">
        <v>210</v>
      </c>
      <c r="B2" s="111"/>
      <c r="C2" s="111"/>
      <c r="D2" s="111"/>
      <c r="E2" s="111"/>
      <c r="F2" s="111"/>
      <c r="G2" s="111"/>
      <c r="H2" s="111"/>
      <c r="I2" s="111"/>
      <c r="K2" s="4"/>
    </row>
    <row r="3" spans="1:11" ht="16.5" customHeight="1" x14ac:dyDescent="0.2">
      <c r="A3" s="5"/>
      <c r="B3" s="6"/>
      <c r="H3" s="7"/>
      <c r="I3" s="7"/>
      <c r="J3" s="9"/>
      <c r="K3" s="9"/>
    </row>
    <row r="4" spans="1:11" ht="16.5" customHeight="1" x14ac:dyDescent="0.2">
      <c r="A4" s="176" t="s">
        <v>144</v>
      </c>
      <c r="B4" s="162" t="s">
        <v>30</v>
      </c>
      <c r="C4" s="162"/>
      <c r="D4" s="162"/>
      <c r="E4" s="162"/>
      <c r="F4" s="162"/>
      <c r="G4" s="162"/>
      <c r="H4" s="162"/>
      <c r="I4" s="162"/>
      <c r="J4" s="9"/>
      <c r="K4" s="9"/>
    </row>
    <row r="5" spans="1:11" ht="16.5" customHeight="1" x14ac:dyDescent="0.2">
      <c r="A5" s="176"/>
      <c r="B5" s="172" t="s">
        <v>32</v>
      </c>
      <c r="C5" s="172"/>
      <c r="D5" s="172" t="s">
        <v>33</v>
      </c>
      <c r="E5" s="172"/>
      <c r="F5" s="172" t="s">
        <v>34</v>
      </c>
      <c r="G5" s="172"/>
      <c r="H5" s="172" t="s">
        <v>35</v>
      </c>
      <c r="I5" s="172"/>
      <c r="J5" s="9"/>
      <c r="K5" s="9"/>
    </row>
    <row r="6" spans="1:11" ht="16.5" customHeight="1" x14ac:dyDescent="0.2">
      <c r="A6" s="69" t="s">
        <v>68</v>
      </c>
      <c r="B6" s="169" t="s">
        <v>147</v>
      </c>
      <c r="C6" s="185"/>
      <c r="D6" s="185"/>
      <c r="E6" s="185"/>
      <c r="F6" s="185"/>
      <c r="G6" s="185"/>
      <c r="H6" s="185"/>
      <c r="I6" s="170"/>
      <c r="J6" s="6" t="s">
        <v>126</v>
      </c>
      <c r="K6" s="9"/>
    </row>
    <row r="7" spans="1:11" ht="41.25" customHeight="1" x14ac:dyDescent="0.2">
      <c r="A7" s="68" t="s">
        <v>216</v>
      </c>
      <c r="B7" s="186">
        <f>IF($B$6="ламель 125",Данные!$J$88,Данные!$J$89)</f>
        <v>2.04</v>
      </c>
      <c r="C7" s="186"/>
      <c r="D7" s="186">
        <f>IF($B$6="ламель 125",Данные!$J$88,Данные!$J$89)</f>
        <v>2.04</v>
      </c>
      <c r="E7" s="186"/>
      <c r="F7" s="186">
        <f>IF($B$6="ламель 125",Данные!$J$88,Данные!$J$89)</f>
        <v>2.04</v>
      </c>
      <c r="G7" s="186"/>
      <c r="H7" s="186">
        <f>IF($B$6="ламель 125",Данные!$J$88,Данные!$J$89)</f>
        <v>2.04</v>
      </c>
      <c r="I7" s="186"/>
      <c r="J7" s="6"/>
      <c r="K7" s="9"/>
    </row>
    <row r="8" spans="1:11" ht="16.5" customHeight="1" x14ac:dyDescent="0.2">
      <c r="A8" s="68" t="s">
        <v>38</v>
      </c>
      <c r="B8" s="171">
        <v>0</v>
      </c>
      <c r="C8" s="171"/>
      <c r="D8" s="171">
        <v>0</v>
      </c>
      <c r="E8" s="171"/>
      <c r="F8" s="171">
        <v>0</v>
      </c>
      <c r="G8" s="171"/>
      <c r="H8" s="171">
        <v>0</v>
      </c>
      <c r="I8" s="171"/>
      <c r="J8" s="6" t="s">
        <v>127</v>
      </c>
      <c r="K8" s="9"/>
    </row>
    <row r="9" spans="1:11" ht="16.5" customHeight="1" x14ac:dyDescent="0.2">
      <c r="A9" s="68" t="s">
        <v>40</v>
      </c>
      <c r="B9" s="171">
        <v>0</v>
      </c>
      <c r="C9" s="171"/>
      <c r="D9" s="171">
        <v>0</v>
      </c>
      <c r="E9" s="171"/>
      <c r="F9" s="171">
        <v>0</v>
      </c>
      <c r="G9" s="171"/>
      <c r="H9" s="171">
        <v>0</v>
      </c>
      <c r="I9" s="171"/>
      <c r="J9" s="6" t="s">
        <v>128</v>
      </c>
      <c r="K9" s="9"/>
    </row>
    <row r="10" spans="1:11" ht="16.5" customHeight="1" x14ac:dyDescent="0.2">
      <c r="A10" s="69" t="s">
        <v>41</v>
      </c>
      <c r="B10" s="171">
        <v>0</v>
      </c>
      <c r="C10" s="171"/>
      <c r="D10" s="171">
        <v>0</v>
      </c>
      <c r="E10" s="171"/>
      <c r="F10" s="171">
        <v>0</v>
      </c>
      <c r="G10" s="171"/>
      <c r="H10" s="171">
        <v>0</v>
      </c>
      <c r="I10" s="171"/>
      <c r="J10" s="6" t="s">
        <v>128</v>
      </c>
      <c r="K10" s="9"/>
    </row>
    <row r="11" spans="1:11" ht="16.5" customHeight="1" x14ac:dyDescent="0.2">
      <c r="A11" s="69" t="s">
        <v>183</v>
      </c>
      <c r="B11" s="171">
        <v>0</v>
      </c>
      <c r="C11" s="171"/>
      <c r="D11" s="171">
        <v>0</v>
      </c>
      <c r="E11" s="171"/>
      <c r="F11" s="171">
        <v>0</v>
      </c>
      <c r="G11" s="171"/>
      <c r="H11" s="171">
        <v>0</v>
      </c>
      <c r="I11" s="171"/>
      <c r="J11" s="6" t="s">
        <v>128</v>
      </c>
      <c r="K11" s="9"/>
    </row>
    <row r="12" spans="1:11" ht="16.5" customHeight="1" x14ac:dyDescent="0.2">
      <c r="A12" s="68" t="s">
        <v>44</v>
      </c>
      <c r="B12" s="171" t="s">
        <v>45</v>
      </c>
      <c r="C12" s="171"/>
      <c r="D12" s="171" t="s">
        <v>45</v>
      </c>
      <c r="E12" s="171"/>
      <c r="F12" s="171" t="s">
        <v>45</v>
      </c>
      <c r="G12" s="171"/>
      <c r="H12" s="171" t="s">
        <v>45</v>
      </c>
      <c r="I12" s="171"/>
      <c r="J12" s="6" t="s">
        <v>126</v>
      </c>
      <c r="K12" s="9"/>
    </row>
    <row r="13" spans="1:11" x14ac:dyDescent="0.2">
      <c r="A13" s="68" t="s">
        <v>161</v>
      </c>
      <c r="B13" s="154" t="s">
        <v>10</v>
      </c>
      <c r="C13" s="155"/>
      <c r="D13" s="154" t="s">
        <v>10</v>
      </c>
      <c r="E13" s="155"/>
      <c r="F13" s="154" t="s">
        <v>10</v>
      </c>
      <c r="G13" s="155"/>
      <c r="H13" s="154" t="s">
        <v>10</v>
      </c>
      <c r="I13" s="155"/>
      <c r="J13" s="6" t="s">
        <v>126</v>
      </c>
      <c r="K13" s="9"/>
    </row>
    <row r="14" spans="1:11" ht="43.5" customHeight="1" x14ac:dyDescent="0.2">
      <c r="A14" s="106"/>
      <c r="B14" s="106"/>
      <c r="C14" s="106"/>
      <c r="D14" s="106"/>
      <c r="E14" s="106"/>
      <c r="F14" s="106"/>
      <c r="G14" s="106"/>
      <c r="H14" s="106"/>
      <c r="I14" s="106"/>
      <c r="J14" s="9"/>
      <c r="K14" s="9"/>
    </row>
    <row r="15" spans="1:11" ht="16.5" customHeight="1" x14ac:dyDescent="0.2">
      <c r="A15" s="162" t="s">
        <v>145</v>
      </c>
      <c r="B15" s="163" t="s">
        <v>0</v>
      </c>
      <c r="C15" s="164"/>
      <c r="D15" s="164" t="s">
        <v>1</v>
      </c>
      <c r="E15" s="164"/>
      <c r="F15" s="164" t="s">
        <v>2</v>
      </c>
      <c r="G15" s="164"/>
      <c r="H15" s="164" t="s">
        <v>3</v>
      </c>
      <c r="I15" s="165"/>
      <c r="K15" s="9"/>
    </row>
    <row r="16" spans="1:11" ht="16.5" customHeight="1" x14ac:dyDescent="0.2">
      <c r="A16" s="162"/>
      <c r="B16" s="70" t="s">
        <v>6</v>
      </c>
      <c r="C16" s="71" t="s">
        <v>7</v>
      </c>
      <c r="D16" s="72" t="s">
        <v>6</v>
      </c>
      <c r="E16" s="71" t="s">
        <v>7</v>
      </c>
      <c r="F16" s="72" t="s">
        <v>6</v>
      </c>
      <c r="G16" s="71" t="s">
        <v>7</v>
      </c>
      <c r="H16" s="72" t="s">
        <v>6</v>
      </c>
      <c r="I16" s="70" t="s">
        <v>7</v>
      </c>
      <c r="K16" s="9"/>
    </row>
    <row r="17" spans="1:11" ht="16.5" customHeight="1" x14ac:dyDescent="0.2">
      <c r="A17" s="73" t="s">
        <v>84</v>
      </c>
      <c r="B17" s="73"/>
      <c r="C17" s="74"/>
      <c r="D17" s="75"/>
      <c r="E17" s="76"/>
      <c r="F17" s="75"/>
      <c r="G17" s="76"/>
      <c r="H17" s="75"/>
      <c r="I17" s="77"/>
      <c r="K17" s="9"/>
    </row>
    <row r="18" spans="1:11" ht="16.5" customHeight="1" x14ac:dyDescent="0.2">
      <c r="A18" s="46" t="s">
        <v>59</v>
      </c>
      <c r="B18" s="53">
        <f>IF(C18=0,0,B8-0.01)</f>
        <v>0</v>
      </c>
      <c r="C18" s="54">
        <f>IF($B$6="ламель 125",IF(B9=0,0,B9*Данные!$L$88),0)</f>
        <v>0</v>
      </c>
      <c r="D18" s="53">
        <f>IF(E18=0,0,D8-0.01)</f>
        <v>0</v>
      </c>
      <c r="E18" s="54">
        <f>IF($B$6="ламель 125",IF(D9=0,0,D9*Данные!$L$88),0)</f>
        <v>0</v>
      </c>
      <c r="F18" s="53">
        <f>IF(G18=0,0,F8-0.01)</f>
        <v>0</v>
      </c>
      <c r="G18" s="54">
        <f>IF($B$6="ламель 125",IF(F9=0,0,F9*Данные!$L$88),0)</f>
        <v>0</v>
      </c>
      <c r="H18" s="55">
        <f>IF(I18=0,0,H8-0.01)</f>
        <v>0</v>
      </c>
      <c r="I18" s="56">
        <f>IF($B$6="ламель 125",IF(H9=0,0,H9*Данные!$L$88),0)</f>
        <v>0</v>
      </c>
      <c r="K18" s="9"/>
    </row>
    <row r="19" spans="1:11" ht="16.5" customHeight="1" x14ac:dyDescent="0.2">
      <c r="A19" s="46" t="s">
        <v>60</v>
      </c>
      <c r="B19" s="53">
        <f t="shared" ref="B19:I19" si="0">B18</f>
        <v>0</v>
      </c>
      <c r="C19" s="54">
        <f t="shared" si="0"/>
        <v>0</v>
      </c>
      <c r="D19" s="53">
        <f t="shared" si="0"/>
        <v>0</v>
      </c>
      <c r="E19" s="54">
        <f t="shared" si="0"/>
        <v>0</v>
      </c>
      <c r="F19" s="53">
        <f t="shared" si="0"/>
        <v>0</v>
      </c>
      <c r="G19" s="54">
        <f t="shared" si="0"/>
        <v>0</v>
      </c>
      <c r="H19" s="55">
        <f t="shared" si="0"/>
        <v>0</v>
      </c>
      <c r="I19" s="56">
        <f t="shared" si="0"/>
        <v>0</v>
      </c>
      <c r="K19" s="9"/>
    </row>
    <row r="20" spans="1:11" ht="16.5" customHeight="1" x14ac:dyDescent="0.2">
      <c r="A20" s="46" t="s">
        <v>61</v>
      </c>
      <c r="B20" s="53">
        <f>IF(C20=0,0,B8-0.01)</f>
        <v>0</v>
      </c>
      <c r="C20" s="54">
        <f>IF($B$6="ламель 150",Данные!$L$89,0)</f>
        <v>0</v>
      </c>
      <c r="D20" s="53">
        <f>IF(E20=0,0,D8-0.01)</f>
        <v>0</v>
      </c>
      <c r="E20" s="54">
        <f>IF($B$6="ламель 150",Данные!$L$89,0)</f>
        <v>0</v>
      </c>
      <c r="F20" s="53">
        <f>IF(G20=0,0,F8-0.01)</f>
        <v>0</v>
      </c>
      <c r="G20" s="54">
        <f>IF($B$6="ламель 150",Данные!$L$89,0)</f>
        <v>0</v>
      </c>
      <c r="H20" s="55">
        <f>IF(I20=0,0,H8-0.01)</f>
        <v>0</v>
      </c>
      <c r="I20" s="56">
        <f>IF($B$6="ламель 150",Данные!$L$89,0)</f>
        <v>0</v>
      </c>
      <c r="K20" s="9"/>
    </row>
    <row r="21" spans="1:11" ht="16.5" customHeight="1" x14ac:dyDescent="0.2">
      <c r="A21" s="46" t="s">
        <v>62</v>
      </c>
      <c r="B21" s="53">
        <f t="shared" ref="B21:I21" si="1">B20</f>
        <v>0</v>
      </c>
      <c r="C21" s="54">
        <f t="shared" si="1"/>
        <v>0</v>
      </c>
      <c r="D21" s="53">
        <f t="shared" si="1"/>
        <v>0</v>
      </c>
      <c r="E21" s="54">
        <f t="shared" si="1"/>
        <v>0</v>
      </c>
      <c r="F21" s="53">
        <f t="shared" si="1"/>
        <v>0</v>
      </c>
      <c r="G21" s="54">
        <f t="shared" si="1"/>
        <v>0</v>
      </c>
      <c r="H21" s="55">
        <f t="shared" si="1"/>
        <v>0</v>
      </c>
      <c r="I21" s="56">
        <f t="shared" si="1"/>
        <v>0</v>
      </c>
      <c r="K21" s="9"/>
    </row>
    <row r="22" spans="1:11" ht="16.5" customHeight="1" x14ac:dyDescent="0.2">
      <c r="A22" s="46" t="s">
        <v>66</v>
      </c>
      <c r="B22" s="53">
        <f>IF($B$6="ламель 125",Данные!$K$88,Данные!$K$89)</f>
        <v>25</v>
      </c>
      <c r="C22" s="54"/>
      <c r="D22" s="53">
        <f>IF($B$6="ламель 125",Данные!$K$88,Данные!$K$89)</f>
        <v>25</v>
      </c>
      <c r="E22" s="54"/>
      <c r="F22" s="53">
        <f>IF($B$6="ламель 125",Данные!$K$88,Данные!$K$89)</f>
        <v>25</v>
      </c>
      <c r="G22" s="54"/>
      <c r="H22" s="53">
        <f>IF($B$6="ламель 125",Данные!$K$88,Данные!$K$89)</f>
        <v>25</v>
      </c>
      <c r="I22" s="56"/>
      <c r="K22" s="9"/>
    </row>
    <row r="23" spans="1:11" ht="16.5" customHeight="1" x14ac:dyDescent="0.2">
      <c r="A23" s="46" t="s">
        <v>63</v>
      </c>
      <c r="B23" s="53">
        <f>IF(C23=0,0,B8)</f>
        <v>0</v>
      </c>
      <c r="C23" s="54">
        <f>IF(C25&gt;0,0,IF($B$6="ламель 125",B9,0))</f>
        <v>0</v>
      </c>
      <c r="D23" s="53">
        <f>IF(E23=0,0,D8)</f>
        <v>0</v>
      </c>
      <c r="E23" s="54">
        <f>IF(E25&gt;0,0,IF($B$6="ламель 125",D9,0))</f>
        <v>0</v>
      </c>
      <c r="F23" s="53">
        <f>IF(G23=0,0,F8)</f>
        <v>0</v>
      </c>
      <c r="G23" s="54">
        <f>IF(G25&gt;0,0,IF($B$6="ламель 125",F9,0))</f>
        <v>0</v>
      </c>
      <c r="H23" s="55">
        <f>IF(I23=0,0,H8)</f>
        <v>0</v>
      </c>
      <c r="I23" s="56">
        <f>IF(I25&gt;0,0,IF($B$6="ламель 125",H9,0))</f>
        <v>0</v>
      </c>
      <c r="K23" s="9"/>
    </row>
    <row r="24" spans="1:11" ht="16.5" customHeight="1" x14ac:dyDescent="0.2">
      <c r="A24" s="46" t="s">
        <v>64</v>
      </c>
      <c r="B24" s="53">
        <f>IF(C24=0,0,B8)</f>
        <v>0</v>
      </c>
      <c r="C24" s="54">
        <f>IF(C25&gt;0,0,IF($B$6="ламель 150",B9,0))</f>
        <v>0</v>
      </c>
      <c r="D24" s="53">
        <f>IF(E24=0,0,D8)</f>
        <v>0</v>
      </c>
      <c r="E24" s="54">
        <f>IF(E25&gt;0,0,IF($B$6="ламель 150",D9,0))</f>
        <v>0</v>
      </c>
      <c r="F24" s="53">
        <f>IF(G24=0,0,F8)</f>
        <v>0</v>
      </c>
      <c r="G24" s="54">
        <f>IF(G25&gt;0,0,IF($B$6="ламель 150",F9,0))</f>
        <v>0</v>
      </c>
      <c r="H24" s="55">
        <f>IF(I24=0,0,H8)</f>
        <v>0</v>
      </c>
      <c r="I24" s="56">
        <f>IF(I25&gt;0,0,IF($B$6="ламель 150",H9,0))</f>
        <v>0</v>
      </c>
      <c r="K24" s="9"/>
    </row>
    <row r="25" spans="1:11" ht="16.5" customHeight="1" x14ac:dyDescent="0.2">
      <c r="A25" s="46" t="s">
        <v>191</v>
      </c>
      <c r="B25" s="53">
        <f>IF(C25=0,0,B8)</f>
        <v>0</v>
      </c>
      <c r="C25" s="54">
        <f>IF(OR(B8=2,B8&gt;2),B9,0)</f>
        <v>0</v>
      </c>
      <c r="D25" s="53">
        <f>IF(E25=0,0,D8)</f>
        <v>0</v>
      </c>
      <c r="E25" s="54">
        <f>IF(OR(D8=2,D8&gt;2),D9,0)</f>
        <v>0</v>
      </c>
      <c r="F25" s="53">
        <f>IF(G25=0,0,F8)</f>
        <v>0</v>
      </c>
      <c r="G25" s="54">
        <f>IF(OR(F8=2,F8&gt;2),F9,0)</f>
        <v>0</v>
      </c>
      <c r="H25" s="55">
        <f>IF(I25=0,0,H8)</f>
        <v>0</v>
      </c>
      <c r="I25" s="56">
        <f>IF(OR(H8=2,H8&gt;2),H9,0)</f>
        <v>0</v>
      </c>
      <c r="K25" s="9"/>
    </row>
    <row r="26" spans="1:11" ht="16.5" customHeight="1" x14ac:dyDescent="0.2">
      <c r="A26" s="46" t="s">
        <v>4</v>
      </c>
      <c r="B26" s="53">
        <f>IF(AND(B7&gt;0,B12="да"),0,B7)</f>
        <v>2.04</v>
      </c>
      <c r="C26" s="54">
        <f>IF(B26=0,0,IF(B9=0,0,IF(B9=1,2*2,IF(B11=0,(B9+1)*2-C27,(B9+1+B11)*2-C27))))</f>
        <v>0</v>
      </c>
      <c r="D26" s="53">
        <f>IF(AND(D7&gt;0,D12="да"),0,D7)</f>
        <v>2.04</v>
      </c>
      <c r="E26" s="54">
        <f>IF(D26=0,0,IF(D9=0,0,IF(D9=1,2*2,IF(D11=0,(D9+1)*2-E27,(D9+1+D11)*2-E27))))</f>
        <v>0</v>
      </c>
      <c r="F26" s="53">
        <f>IF(AND(F7&gt;0,F12="да"),0,F7)</f>
        <v>2.04</v>
      </c>
      <c r="G26" s="54">
        <f>IF(F26=0,0,IF(F9=0,0,IF(F9=1,2*2,IF(F11=0,(F9+1)*2-G27,(F9+1+F11)*2-G27))))</f>
        <v>0</v>
      </c>
      <c r="H26" s="55">
        <f>IF(AND(H7&gt;0,H12="да"),0,H7)</f>
        <v>2.04</v>
      </c>
      <c r="I26" s="56">
        <f>IF(H26=0,0,IF(H9=0,0,IF(H9=1,2*2,IF(H11=0,(H9+1)*2-I27,(H9+1+H11)*2-I27))))</f>
        <v>0</v>
      </c>
    </row>
    <row r="27" spans="1:11" ht="16.5" customHeight="1" x14ac:dyDescent="0.2">
      <c r="A27" s="46" t="s">
        <v>8</v>
      </c>
      <c r="B27" s="53">
        <f>IF(OR(AND(B10=0,B11=0),B12="да"),0,B7)</f>
        <v>0</v>
      </c>
      <c r="C27" s="54">
        <f>IF(B27=0,0,B10*2*2+B11*2)</f>
        <v>0</v>
      </c>
      <c r="D27" s="53">
        <f>IF(OR(AND(D10=0,D11=0),D12="да"),0,D7)</f>
        <v>0</v>
      </c>
      <c r="E27" s="54">
        <f>IF(D27=0,0,D10*2*2+D11*2)</f>
        <v>0</v>
      </c>
      <c r="F27" s="53">
        <f>IF(OR(AND(F10=0,F11=0),F12="да"),0,F7)</f>
        <v>0</v>
      </c>
      <c r="G27" s="54">
        <f>IF(F27=0,0,F10*2*2+F11*2)</f>
        <v>0</v>
      </c>
      <c r="H27" s="55">
        <f>IF(OR(AND(H10=0,H11=0),H12="да"),0,H7)</f>
        <v>0</v>
      </c>
      <c r="I27" s="56">
        <f>IF(H27=0,0,H10*2*2+H11*2)</f>
        <v>0</v>
      </c>
    </row>
    <row r="28" spans="1:11" ht="16.5" customHeight="1" x14ac:dyDescent="0.2">
      <c r="A28" s="46" t="s">
        <v>119</v>
      </c>
      <c r="B28" s="53">
        <f>IF(C28=0,0,B7)</f>
        <v>0</v>
      </c>
      <c r="C28" s="54">
        <f>IF(OR(B8=2.5,B8&gt;2.5),B9*2,IF(B8&lt;2,0,B9*1))</f>
        <v>0</v>
      </c>
      <c r="D28" s="53">
        <f>IF(E28=0,0,D7)</f>
        <v>0</v>
      </c>
      <c r="E28" s="54">
        <f>IF(OR(D8=2.5,D8&gt;2.5),D9*2,IF(D8&lt;2,0,D9*1))</f>
        <v>0</v>
      </c>
      <c r="F28" s="53">
        <f>IF(G28=0,0,F7)</f>
        <v>0</v>
      </c>
      <c r="G28" s="54">
        <f>IF(OR(F8=2.5,F8&gt;2.5),F9*2,IF(F8&lt;2,0,F9*1))</f>
        <v>0</v>
      </c>
      <c r="H28" s="55">
        <f>IF(I28=0,0,H7)</f>
        <v>0</v>
      </c>
      <c r="I28" s="56">
        <f>IF(OR(H8=2.5,H8&gt;2.5),H9*2,IF(H8&lt;2,0,H9*1))</f>
        <v>0</v>
      </c>
    </row>
    <row r="29" spans="1:11" ht="16.5" customHeight="1" x14ac:dyDescent="0.2">
      <c r="A29" s="46" t="s">
        <v>120</v>
      </c>
      <c r="B29" s="53">
        <f>IF(C29=0,0,B7)</f>
        <v>0</v>
      </c>
      <c r="C29" s="54">
        <f>C28</f>
        <v>0</v>
      </c>
      <c r="D29" s="53">
        <f>IF(E29=0,0,D7)</f>
        <v>0</v>
      </c>
      <c r="E29" s="54">
        <f>E28</f>
        <v>0</v>
      </c>
      <c r="F29" s="53">
        <f>IF(G29=0,0,F7)</f>
        <v>0</v>
      </c>
      <c r="G29" s="54">
        <f>G28</f>
        <v>0</v>
      </c>
      <c r="H29" s="55">
        <f>IF(I29=0,0,H7)</f>
        <v>0</v>
      </c>
      <c r="I29" s="56">
        <f>I28</f>
        <v>0</v>
      </c>
    </row>
    <row r="30" spans="1:11" ht="16.5" customHeight="1" x14ac:dyDescent="0.2">
      <c r="A30" s="46" t="s">
        <v>65</v>
      </c>
      <c r="B30" s="53">
        <f>IF(C30=0,0,B7)</f>
        <v>0</v>
      </c>
      <c r="C30" s="54">
        <f>2*B9</f>
        <v>0</v>
      </c>
      <c r="D30" s="53">
        <f>IF(E30=0,0,D7)</f>
        <v>0</v>
      </c>
      <c r="E30" s="54">
        <f>2*D9</f>
        <v>0</v>
      </c>
      <c r="F30" s="53">
        <f>IF(G30=0,0,F7)</f>
        <v>0</v>
      </c>
      <c r="G30" s="54">
        <f>2*F9</f>
        <v>0</v>
      </c>
      <c r="H30" s="55">
        <f>IF(I30=0,0,H7)</f>
        <v>0</v>
      </c>
      <c r="I30" s="56">
        <f>2*H9</f>
        <v>0</v>
      </c>
    </row>
    <row r="31" spans="1:11" ht="16.5" customHeight="1" x14ac:dyDescent="0.2">
      <c r="A31" s="38" t="s">
        <v>83</v>
      </c>
      <c r="B31" s="57" t="s">
        <v>10</v>
      </c>
      <c r="C31" s="54">
        <f>IF(B12="да",0,(IF(B9=0,0,IF(B9=1,2,IF(B11=0,B9+1,B9+1+B11)))))</f>
        <v>0</v>
      </c>
      <c r="D31" s="57" t="s">
        <v>10</v>
      </c>
      <c r="E31" s="54">
        <f>IF(D12="да",0,(IF(D9=0,0,IF(D9=1,2,IF(D11=0,D9+1,D9+1+D11)))))</f>
        <v>0</v>
      </c>
      <c r="F31" s="57" t="s">
        <v>10</v>
      </c>
      <c r="G31" s="54">
        <f>IF(F12="да",0,(IF(F9=0,0,IF(F9=1,2,IF(F11=0,F9+1,F9+1+F11)))))</f>
        <v>0</v>
      </c>
      <c r="H31" s="58" t="s">
        <v>10</v>
      </c>
      <c r="I31" s="56">
        <f>IF(H12="да",0,(IF(H9=0,0,IF(H9=1,2,IF(H11=0,H9+1,H9+1+H11)))))</f>
        <v>0</v>
      </c>
    </row>
    <row r="32" spans="1:11" ht="16.5" customHeight="1" x14ac:dyDescent="0.2">
      <c r="A32" s="39" t="s">
        <v>67</v>
      </c>
      <c r="B32" s="57" t="str">
        <f>IF(C32=0,"-","4,2x16")</f>
        <v>-</v>
      </c>
      <c r="C32" s="54">
        <f>IF(B12="да",0,(C30*5))</f>
        <v>0</v>
      </c>
      <c r="D32" s="57" t="str">
        <f>IF(E32=0,"-","4,2x16")</f>
        <v>-</v>
      </c>
      <c r="E32" s="54">
        <f>IF(D12="да",0,(E30*5))</f>
        <v>0</v>
      </c>
      <c r="F32" s="57" t="str">
        <f>IF(G32=0,"-","4,2x16")</f>
        <v>-</v>
      </c>
      <c r="G32" s="54">
        <f>IF(F12="да",0,(G30*5))</f>
        <v>0</v>
      </c>
      <c r="H32" s="58" t="str">
        <f>IF(I32=0,"-","4,2x16")</f>
        <v>-</v>
      </c>
      <c r="I32" s="56">
        <f>IF(H12="да",0,(I30*5))</f>
        <v>0</v>
      </c>
    </row>
    <row r="33" spans="1:11" ht="16.5" customHeight="1" x14ac:dyDescent="0.2">
      <c r="A33" s="46" t="s">
        <v>13</v>
      </c>
      <c r="B33" s="57" t="str">
        <f>IF(C33=0,"-","4,2x16")</f>
        <v>-</v>
      </c>
      <c r="C33" s="54">
        <f>C23*4+C24*4+IF(B9&gt;0,C18/B9*C28+C20/B9*C28,0)</f>
        <v>0</v>
      </c>
      <c r="D33" s="57" t="str">
        <f>IF(E33=0,"-","4,2x16")</f>
        <v>-</v>
      </c>
      <c r="E33" s="54">
        <f>E23*4+E24*4+IF(D9&gt;0,E18/D9*E28+E20/D9*E28,0)</f>
        <v>0</v>
      </c>
      <c r="F33" s="57" t="str">
        <f>IF(G33=0,"-","4,2x16")</f>
        <v>-</v>
      </c>
      <c r="G33" s="54">
        <f>G23*4+G24*4+IF(F9&gt;0,G18/F9*G28+G20/F9*G28,0)</f>
        <v>0</v>
      </c>
      <c r="H33" s="58" t="str">
        <f>IF(I33=0,"-","4,2x16")</f>
        <v>-</v>
      </c>
      <c r="I33" s="56">
        <f>I23*4+I24*4+IF(H9&gt;0,I18/H9*I28+I20/H9*I28,0)</f>
        <v>0</v>
      </c>
    </row>
    <row r="34" spans="1:11" ht="16.5" customHeight="1" x14ac:dyDescent="0.2">
      <c r="A34" s="46" t="s">
        <v>301</v>
      </c>
      <c r="B34" s="57" t="str">
        <f>IF(C34=0,"-","7,5x52")</f>
        <v>-</v>
      </c>
      <c r="C34" s="54">
        <f>IF(B$9=0,0,IF(B$12="да",C30*5,0))</f>
        <v>0</v>
      </c>
      <c r="D34" s="57" t="str">
        <f>IF(E34=0,"-","7,5x52")</f>
        <v>-</v>
      </c>
      <c r="E34" s="54">
        <f>IF(D$9=0,0,IF(D$12="да",E30*5,0))</f>
        <v>0</v>
      </c>
      <c r="F34" s="57" t="str">
        <f>IF(G34=0,"-","7,5x52")</f>
        <v>-</v>
      </c>
      <c r="G34" s="54">
        <f>IF(F$9=0,0,IF(F$12="да",G30*5,0))</f>
        <v>0</v>
      </c>
      <c r="H34" s="57" t="str">
        <f>IF(I34=0,"-","7,5x52")</f>
        <v>-</v>
      </c>
      <c r="I34" s="56">
        <f>IF(H$9=0,0,IF(H$12="да",I30*5,0))</f>
        <v>0</v>
      </c>
    </row>
    <row r="35" spans="1:11" ht="16.5" customHeight="1" x14ac:dyDescent="0.2">
      <c r="A35" s="46" t="s">
        <v>302</v>
      </c>
      <c r="B35" s="57"/>
      <c r="C35" s="54">
        <f>C34</f>
        <v>0</v>
      </c>
      <c r="D35" s="57"/>
      <c r="E35" s="54">
        <f>E34</f>
        <v>0</v>
      </c>
      <c r="F35" s="57"/>
      <c r="G35" s="54">
        <f>G34</f>
        <v>0</v>
      </c>
      <c r="H35" s="57"/>
      <c r="I35" s="56">
        <f>I34</f>
        <v>0</v>
      </c>
    </row>
    <row r="36" spans="1:11" ht="16.5" customHeight="1" x14ac:dyDescent="0.2">
      <c r="A36" s="46" t="s">
        <v>217</v>
      </c>
      <c r="B36" s="57"/>
      <c r="C36" s="54">
        <f>IF(AND($B$6="ламель 125",B9&gt;0),B9,0)</f>
        <v>0</v>
      </c>
      <c r="D36" s="95"/>
      <c r="E36" s="54">
        <f>IF(AND($B$6="ламель 125",D9&gt;0),D9,0)</f>
        <v>0</v>
      </c>
      <c r="F36" s="95"/>
      <c r="G36" s="54">
        <f>IF(AND($B$6="ламель 125",F9&gt;0),F9,0)</f>
        <v>0</v>
      </c>
      <c r="H36" s="95"/>
      <c r="I36" s="56">
        <f>IF(AND($B$6="ламель 125",H9&gt;0),H9,0)</f>
        <v>0</v>
      </c>
    </row>
    <row r="37" spans="1:11" ht="16.5" customHeight="1" x14ac:dyDescent="0.2">
      <c r="A37" s="46" t="s">
        <v>218</v>
      </c>
      <c r="B37" s="57"/>
      <c r="C37" s="54">
        <f>IF(AND($B$6="ламель 125",B9&gt;0),B9,0)</f>
        <v>0</v>
      </c>
      <c r="D37" s="95"/>
      <c r="E37" s="54">
        <f>IF(AND($B$6="ламель 125",D9&gt;0),D9,0)</f>
        <v>0</v>
      </c>
      <c r="F37" s="95"/>
      <c r="G37" s="54">
        <f>IF(AND($B$6="ламель 125",F9&gt;0),F9,0)</f>
        <v>0</v>
      </c>
      <c r="H37" s="95"/>
      <c r="I37" s="56">
        <f>IF(AND($B$6="ламель 125",H9&gt;0),H9,0)</f>
        <v>0</v>
      </c>
    </row>
    <row r="38" spans="1:11" ht="16.5" customHeight="1" x14ac:dyDescent="0.2">
      <c r="A38" s="46" t="s">
        <v>219</v>
      </c>
      <c r="B38" s="57"/>
      <c r="C38" s="54">
        <f>IF(AND($B$6="ламель 150",B9&gt;0),B9,0)</f>
        <v>0</v>
      </c>
      <c r="D38" s="95"/>
      <c r="E38" s="54">
        <f>IF(AND($B$6="ламель 150",D9&gt;0),D9,0)</f>
        <v>0</v>
      </c>
      <c r="F38" s="95"/>
      <c r="G38" s="54">
        <f>IF(AND($B$6="ламель 150",F9&gt;0),F9,0)</f>
        <v>0</v>
      </c>
      <c r="H38" s="95"/>
      <c r="I38" s="56">
        <f>IF(AND($B$6="ламель 150",H9&gt;0),H9,0)</f>
        <v>0</v>
      </c>
    </row>
    <row r="39" spans="1:11" ht="16.5" customHeight="1" x14ac:dyDescent="0.2">
      <c r="A39" s="46" t="s">
        <v>220</v>
      </c>
      <c r="B39" s="57"/>
      <c r="C39" s="54">
        <f>IF(AND($B$6="ламель 150",B9&gt;0),B9,0)</f>
        <v>0</v>
      </c>
      <c r="D39" s="95"/>
      <c r="E39" s="54">
        <f>IF(AND($B$6="ламель 150",D9&gt;0),D9,0)</f>
        <v>0</v>
      </c>
      <c r="F39" s="95"/>
      <c r="G39" s="54">
        <f>IF(AND($B$6="ламель 150",F9&gt;0),F9,0)</f>
        <v>0</v>
      </c>
      <c r="H39" s="95"/>
      <c r="I39" s="56">
        <f>IF(AND($B$6="ламель 150",H9&gt;0),H9,0)</f>
        <v>0</v>
      </c>
    </row>
    <row r="40" spans="1:11" ht="12.75" customHeight="1" x14ac:dyDescent="0.2">
      <c r="A40" s="12"/>
      <c r="B40" s="41"/>
      <c r="C40" s="11"/>
      <c r="D40" s="11"/>
      <c r="E40" s="11"/>
      <c r="F40" s="11"/>
      <c r="G40" s="11"/>
      <c r="H40" s="11"/>
      <c r="I40" s="11"/>
      <c r="J40" s="42"/>
      <c r="K40" s="11"/>
    </row>
    <row r="41" spans="1:11" ht="12.75" customHeight="1" x14ac:dyDescent="0.2">
      <c r="A41" s="42"/>
      <c r="B41" s="41"/>
      <c r="C41" s="11"/>
      <c r="D41" s="11"/>
      <c r="E41" s="11"/>
      <c r="F41" s="11"/>
      <c r="G41" s="11"/>
      <c r="H41" s="11"/>
      <c r="I41" s="11"/>
      <c r="J41" s="42"/>
      <c r="K41" s="11"/>
    </row>
    <row r="42" spans="1:11" ht="19.5" customHeight="1" x14ac:dyDescent="0.2">
      <c r="A42" s="173" t="s">
        <v>131</v>
      </c>
      <c r="B42" s="173"/>
      <c r="C42" s="173"/>
      <c r="D42" s="173"/>
      <c r="E42" s="173"/>
      <c r="F42" s="173"/>
      <c r="G42" s="173"/>
      <c r="H42" s="173"/>
      <c r="I42" s="173"/>
      <c r="J42" s="42"/>
      <c r="K42" s="11"/>
    </row>
    <row r="43" spans="1:11" ht="13.5" customHeight="1" x14ac:dyDescent="0.2">
      <c r="A43" s="184" t="s">
        <v>223</v>
      </c>
      <c r="B43" s="184"/>
      <c r="C43" s="184"/>
      <c r="D43" s="184"/>
      <c r="E43" s="184"/>
      <c r="F43" s="184"/>
      <c r="G43" s="184"/>
      <c r="H43" s="184"/>
      <c r="I43" s="184"/>
      <c r="J43" s="12"/>
    </row>
    <row r="44" spans="1:11" ht="72" customHeight="1" x14ac:dyDescent="0.2">
      <c r="A44" s="187" t="s">
        <v>154</v>
      </c>
      <c r="B44" s="188"/>
      <c r="C44" s="188"/>
      <c r="D44" s="188"/>
      <c r="E44" s="188"/>
      <c r="F44" s="188"/>
      <c r="G44" s="188"/>
      <c r="H44" s="188"/>
      <c r="I44" s="189"/>
      <c r="J44" s="12"/>
    </row>
    <row r="45" spans="1:11" ht="30" customHeight="1" x14ac:dyDescent="0.2">
      <c r="A45" s="190" t="s">
        <v>50</v>
      </c>
      <c r="B45" s="191"/>
      <c r="C45" s="191"/>
      <c r="D45" s="191"/>
      <c r="E45" s="191"/>
      <c r="F45" s="191"/>
      <c r="G45" s="191"/>
      <c r="H45" s="191"/>
      <c r="I45" s="192"/>
      <c r="K45" s="26"/>
    </row>
    <row r="46" spans="1:11" ht="30" customHeight="1" x14ac:dyDescent="0.2">
      <c r="A46" s="190" t="s">
        <v>155</v>
      </c>
      <c r="B46" s="191"/>
      <c r="C46" s="191"/>
      <c r="D46" s="191"/>
      <c r="E46" s="191"/>
      <c r="F46" s="191"/>
      <c r="G46" s="191"/>
      <c r="H46" s="191"/>
      <c r="I46" s="192"/>
    </row>
    <row r="47" spans="1:11" ht="30" customHeight="1" x14ac:dyDescent="0.2">
      <c r="A47" s="187" t="s">
        <v>133</v>
      </c>
      <c r="B47" s="188"/>
      <c r="C47" s="188"/>
      <c r="D47" s="188"/>
      <c r="E47" s="188"/>
      <c r="F47" s="188"/>
      <c r="G47" s="188"/>
      <c r="H47" s="188"/>
      <c r="I47" s="189"/>
    </row>
    <row r="48" spans="1:11" ht="249.75" customHeight="1" x14ac:dyDescent="0.2">
      <c r="A48" s="187" t="s">
        <v>53</v>
      </c>
      <c r="B48" s="188"/>
      <c r="C48" s="188"/>
      <c r="D48" s="188"/>
      <c r="E48" s="188"/>
      <c r="F48" s="188"/>
      <c r="G48" s="188"/>
      <c r="H48" s="188"/>
      <c r="I48" s="189"/>
    </row>
    <row r="49" spans="1:11" s="3" customFormat="1" x14ac:dyDescent="0.2">
      <c r="A49" s="31"/>
      <c r="B49" s="30"/>
      <c r="C49" s="30"/>
      <c r="D49" s="29"/>
      <c r="E49" s="29"/>
      <c r="F49" s="29"/>
      <c r="G49" s="29"/>
      <c r="H49" s="29"/>
      <c r="I49" s="29"/>
      <c r="J49" s="29"/>
      <c r="K49" s="29"/>
    </row>
    <row r="50" spans="1:11" s="3" customFormat="1" hidden="1" x14ac:dyDescent="0.2">
      <c r="A50" s="31"/>
      <c r="B50" s="30"/>
      <c r="C50" s="30"/>
      <c r="D50" s="29"/>
      <c r="E50" s="29"/>
      <c r="F50" s="29"/>
      <c r="G50" s="29"/>
      <c r="H50" s="29"/>
      <c r="I50" s="29"/>
      <c r="J50" s="29"/>
      <c r="K50" s="29"/>
    </row>
    <row r="51" spans="1:11" s="3" customFormat="1" hidden="1" x14ac:dyDescent="0.2">
      <c r="A51" s="31"/>
      <c r="B51" s="30"/>
      <c r="C51" s="30"/>
      <c r="D51" s="29"/>
      <c r="E51" s="29"/>
      <c r="F51" s="29"/>
      <c r="G51" s="29"/>
      <c r="H51" s="29"/>
      <c r="I51" s="29"/>
      <c r="J51" s="29"/>
      <c r="K51" s="29"/>
    </row>
    <row r="52" spans="1:11" s="3" customFormat="1" hidden="1" x14ac:dyDescent="0.2">
      <c r="A52" s="31"/>
      <c r="B52" s="30"/>
      <c r="C52" s="30"/>
      <c r="D52" s="29"/>
      <c r="E52" s="29"/>
      <c r="F52" s="29"/>
      <c r="G52" s="29"/>
      <c r="H52" s="29"/>
      <c r="I52" s="29"/>
      <c r="J52" s="29"/>
      <c r="K52" s="29"/>
    </row>
    <row r="53" spans="1:11" s="3" customFormat="1" hidden="1" x14ac:dyDescent="0.2">
      <c r="A53" s="31"/>
      <c r="B53" s="30"/>
      <c r="C53" s="30"/>
      <c r="D53" s="29"/>
      <c r="E53" s="29"/>
      <c r="F53" s="29"/>
      <c r="G53" s="29"/>
      <c r="H53" s="29"/>
      <c r="I53" s="29"/>
      <c r="J53" s="29"/>
      <c r="K53" s="29"/>
    </row>
    <row r="54" spans="1:11" s="3" customFormat="1" hidden="1" x14ac:dyDescent="0.2">
      <c r="A54" s="31"/>
      <c r="B54" s="30"/>
      <c r="C54" s="30"/>
      <c r="D54" s="29"/>
      <c r="E54" s="29"/>
      <c r="F54" s="29"/>
      <c r="G54" s="29"/>
      <c r="H54" s="29"/>
      <c r="I54" s="29"/>
      <c r="J54" s="29"/>
      <c r="K54" s="29"/>
    </row>
    <row r="55" spans="1:11" s="3" customFormat="1" hidden="1" x14ac:dyDescent="0.2">
      <c r="A55" s="31"/>
      <c r="B55" s="30"/>
      <c r="C55" s="30"/>
      <c r="D55" s="29"/>
      <c r="E55" s="29"/>
      <c r="F55" s="29"/>
      <c r="G55" s="29"/>
      <c r="H55" s="29"/>
      <c r="I55" s="29"/>
      <c r="J55" s="29"/>
      <c r="K55" s="29"/>
    </row>
    <row r="56" spans="1:11" s="3" customFormat="1" hidden="1" x14ac:dyDescent="0.2">
      <c r="A56" s="31"/>
      <c r="B56" s="30"/>
      <c r="C56" s="30"/>
      <c r="D56" s="29"/>
      <c r="E56" s="29"/>
      <c r="F56" s="29"/>
      <c r="G56" s="29"/>
      <c r="H56" s="29"/>
      <c r="I56" s="29"/>
      <c r="J56" s="29"/>
      <c r="K56" s="29"/>
    </row>
    <row r="57" spans="1:11" s="3" customFormat="1" hidden="1" x14ac:dyDescent="0.2">
      <c r="A57" s="31"/>
      <c r="B57" s="30"/>
      <c r="C57" s="30"/>
      <c r="D57" s="29"/>
      <c r="E57" s="29"/>
      <c r="F57" s="29"/>
      <c r="G57" s="29"/>
      <c r="H57" s="29"/>
      <c r="I57" s="29"/>
      <c r="J57" s="29"/>
      <c r="K57" s="29"/>
    </row>
    <row r="58" spans="1:11" s="3" customFormat="1" hidden="1" x14ac:dyDescent="0.2">
      <c r="A58" s="31"/>
      <c r="B58" s="30"/>
      <c r="C58" s="30"/>
      <c r="D58" s="29"/>
      <c r="E58" s="29"/>
      <c r="F58" s="29"/>
      <c r="G58" s="29"/>
      <c r="H58" s="29"/>
      <c r="I58" s="29"/>
      <c r="J58" s="29"/>
      <c r="K58" s="29"/>
    </row>
    <row r="59" spans="1:11" s="3" customFormat="1" hidden="1" x14ac:dyDescent="0.2">
      <c r="A59" s="31"/>
      <c r="B59" s="30"/>
      <c r="C59" s="30"/>
      <c r="D59" s="29"/>
      <c r="E59" s="29"/>
      <c r="F59" s="29"/>
      <c r="G59" s="29"/>
      <c r="H59" s="29"/>
      <c r="I59" s="29"/>
      <c r="J59" s="29"/>
      <c r="K59" s="29"/>
    </row>
    <row r="60" spans="1:11" s="3" customFormat="1" hidden="1" x14ac:dyDescent="0.2">
      <c r="A60" s="31"/>
      <c r="B60" s="30"/>
      <c r="C60" s="30"/>
      <c r="D60" s="29"/>
      <c r="E60" s="29"/>
      <c r="F60" s="29"/>
      <c r="G60" s="29"/>
      <c r="H60" s="29"/>
      <c r="I60" s="29"/>
      <c r="J60" s="29"/>
      <c r="K60" s="29"/>
    </row>
    <row r="61" spans="1:11" s="3" customFormat="1" hidden="1" x14ac:dyDescent="0.2">
      <c r="A61" s="31"/>
      <c r="B61" s="30"/>
      <c r="C61" s="30"/>
      <c r="D61" s="29"/>
      <c r="E61" s="29"/>
      <c r="F61" s="29"/>
      <c r="G61" s="29"/>
      <c r="H61" s="29"/>
      <c r="I61" s="29"/>
      <c r="J61" s="29"/>
      <c r="K61" s="29"/>
    </row>
    <row r="62" spans="1:11" s="3" customFormat="1" hidden="1" x14ac:dyDescent="0.2">
      <c r="A62" s="31"/>
      <c r="B62" s="30"/>
      <c r="C62" s="30"/>
      <c r="D62" s="29"/>
      <c r="E62" s="29"/>
      <c r="F62" s="29"/>
      <c r="G62" s="29"/>
      <c r="H62" s="29"/>
      <c r="I62" s="29"/>
      <c r="J62" s="29"/>
      <c r="K62" s="29"/>
    </row>
    <row r="63" spans="1:11" s="3" customFormat="1" hidden="1" x14ac:dyDescent="0.2">
      <c r="A63" s="31"/>
      <c r="B63" s="30"/>
      <c r="C63" s="30"/>
      <c r="D63" s="29"/>
      <c r="E63" s="29"/>
      <c r="F63" s="29"/>
      <c r="G63" s="29"/>
      <c r="H63" s="29"/>
      <c r="I63" s="29"/>
      <c r="J63" s="29"/>
      <c r="K63" s="29"/>
    </row>
    <row r="64" spans="1:11" s="3" customFormat="1" hidden="1" x14ac:dyDescent="0.2">
      <c r="A64" s="31"/>
      <c r="B64" s="30"/>
      <c r="C64" s="30"/>
      <c r="D64" s="29"/>
      <c r="E64" s="29"/>
      <c r="F64" s="29"/>
      <c r="G64" s="29"/>
      <c r="H64" s="29"/>
      <c r="I64" s="29"/>
      <c r="J64" s="29"/>
      <c r="K64" s="29"/>
    </row>
    <row r="65" spans="1:11" s="3" customFormat="1" hidden="1" x14ac:dyDescent="0.2">
      <c r="A65" s="31"/>
      <c r="B65" s="30"/>
      <c r="C65" s="30"/>
      <c r="D65" s="29"/>
      <c r="E65" s="29"/>
      <c r="F65" s="29"/>
      <c r="G65" s="29"/>
      <c r="H65" s="29"/>
      <c r="I65" s="29"/>
      <c r="J65" s="29"/>
      <c r="K65" s="29"/>
    </row>
    <row r="66" spans="1:11" s="3" customFormat="1" hidden="1" x14ac:dyDescent="0.2">
      <c r="A66" s="31"/>
      <c r="B66" s="30"/>
      <c r="C66" s="30"/>
      <c r="D66" s="29"/>
      <c r="E66" s="29"/>
      <c r="F66" s="29"/>
      <c r="G66" s="29"/>
      <c r="H66" s="29"/>
      <c r="I66" s="29"/>
      <c r="J66" s="29"/>
      <c r="K66" s="29"/>
    </row>
    <row r="67" spans="1:11" s="3" customFormat="1" hidden="1" x14ac:dyDescent="0.2">
      <c r="A67" s="31"/>
      <c r="B67" s="30"/>
      <c r="C67" s="30"/>
      <c r="D67" s="29"/>
      <c r="E67" s="29"/>
      <c r="F67" s="29"/>
      <c r="G67" s="29"/>
      <c r="H67" s="29"/>
      <c r="I67" s="29"/>
      <c r="J67" s="29"/>
      <c r="K67" s="29"/>
    </row>
    <row r="68" spans="1:11" s="3" customFormat="1" hidden="1" x14ac:dyDescent="0.2">
      <c r="A68" s="31"/>
      <c r="B68" s="29"/>
      <c r="C68" s="29"/>
      <c r="D68" s="29"/>
      <c r="E68" s="29"/>
      <c r="F68" s="29"/>
      <c r="G68" s="29"/>
      <c r="H68" s="29"/>
      <c r="I68" s="29"/>
      <c r="J68" s="29"/>
      <c r="K68" s="29"/>
    </row>
    <row r="69" spans="1:11" s="3" customFormat="1" hidden="1" x14ac:dyDescent="0.2">
      <c r="A69" s="31"/>
      <c r="B69" s="29"/>
      <c r="C69" s="29"/>
      <c r="D69" s="29"/>
      <c r="E69" s="29"/>
      <c r="F69" s="29"/>
      <c r="G69" s="29"/>
      <c r="H69" s="29"/>
      <c r="I69" s="29"/>
      <c r="J69" s="29"/>
      <c r="K69" s="29"/>
    </row>
    <row r="70" spans="1:11" s="35" customFormat="1" hidden="1" x14ac:dyDescent="0.25">
      <c r="A70" s="33"/>
      <c r="B70" s="34"/>
      <c r="C70" s="34"/>
      <c r="D70" s="34"/>
      <c r="E70" s="34"/>
      <c r="F70" s="34"/>
      <c r="G70" s="34"/>
      <c r="H70" s="34"/>
      <c r="I70" s="34"/>
      <c r="J70" s="32"/>
      <c r="K70" s="32"/>
    </row>
    <row r="71" spans="1:11" s="3" customFormat="1" hidden="1" x14ac:dyDescent="0.2">
      <c r="A71" s="29"/>
      <c r="B71" s="31"/>
      <c r="C71" s="31"/>
      <c r="D71" s="31"/>
      <c r="E71" s="31"/>
      <c r="F71" s="31"/>
      <c r="G71" s="31"/>
      <c r="H71" s="30"/>
      <c r="I71" s="30"/>
      <c r="J71" s="29"/>
      <c r="K71" s="29"/>
    </row>
    <row r="72" spans="1:11" s="3" customFormat="1" hidden="1" x14ac:dyDescent="0.2">
      <c r="A72" s="29"/>
      <c r="B72" s="31"/>
      <c r="C72" s="31"/>
      <c r="D72" s="31"/>
      <c r="E72" s="31"/>
      <c r="F72" s="31"/>
      <c r="G72" s="31"/>
      <c r="H72" s="30"/>
      <c r="I72" s="30"/>
      <c r="J72" s="29"/>
      <c r="K72" s="29"/>
    </row>
    <row r="73" spans="1:11" s="3" customFormat="1" hidden="1" x14ac:dyDescent="0.2">
      <c r="A73" s="29"/>
      <c r="B73" s="31"/>
      <c r="C73" s="31"/>
      <c r="D73" s="31"/>
      <c r="E73" s="31"/>
      <c r="F73" s="31"/>
      <c r="G73" s="31"/>
      <c r="H73" s="30"/>
      <c r="I73" s="30"/>
      <c r="J73" s="29"/>
      <c r="K73" s="29"/>
    </row>
    <row r="74" spans="1:11" s="3" customFormat="1" hidden="1" x14ac:dyDescent="0.2">
      <c r="A74" s="34"/>
      <c r="B74" s="34"/>
      <c r="C74" s="34"/>
      <c r="D74" s="34"/>
      <c r="E74" s="34"/>
      <c r="F74" s="34"/>
      <c r="G74" s="34"/>
      <c r="H74" s="34"/>
      <c r="I74" s="34"/>
      <c r="J74" s="29"/>
      <c r="K74" s="29"/>
    </row>
    <row r="75" spans="1:11" s="3" customFormat="1" hidden="1" x14ac:dyDescent="0.2">
      <c r="A75" s="29"/>
      <c r="B75" s="31"/>
      <c r="C75" s="31"/>
      <c r="D75" s="31"/>
      <c r="E75" s="31"/>
      <c r="F75" s="31"/>
      <c r="G75" s="31"/>
      <c r="H75" s="30"/>
      <c r="I75" s="30"/>
      <c r="J75" s="29"/>
      <c r="K75" s="29"/>
    </row>
    <row r="76" spans="1:11" s="3" customFormat="1" hidden="1" x14ac:dyDescent="0.2">
      <c r="A76" s="29"/>
      <c r="B76" s="31"/>
      <c r="C76" s="31"/>
      <c r="D76" s="31"/>
      <c r="E76" s="31"/>
      <c r="F76" s="31"/>
      <c r="G76" s="31"/>
      <c r="H76" s="30"/>
      <c r="I76" s="30"/>
      <c r="J76" s="29"/>
      <c r="K76" s="29"/>
    </row>
    <row r="77" spans="1:11" s="3" customFormat="1" hidden="1" x14ac:dyDescent="0.2">
      <c r="A77" s="29"/>
      <c r="B77" s="31"/>
      <c r="C77" s="31"/>
      <c r="D77" s="31"/>
      <c r="E77" s="31"/>
      <c r="F77" s="31"/>
      <c r="G77" s="31"/>
      <c r="H77" s="30"/>
      <c r="I77" s="30"/>
      <c r="J77" s="29"/>
      <c r="K77" s="29"/>
    </row>
    <row r="78" spans="1:11" s="3" customFormat="1" hidden="1" x14ac:dyDescent="0.2">
      <c r="A78" s="29"/>
      <c r="B78" s="31"/>
      <c r="C78" s="31"/>
      <c r="D78" s="31"/>
      <c r="E78" s="31"/>
      <c r="F78" s="31"/>
      <c r="G78" s="31"/>
      <c r="H78" s="30"/>
      <c r="I78" s="30"/>
      <c r="J78" s="29"/>
      <c r="K78" s="29"/>
    </row>
    <row r="79" spans="1:11" s="3" customFormat="1" hidden="1" x14ac:dyDescent="0.2">
      <c r="A79" s="29"/>
      <c r="B79" s="31"/>
      <c r="C79" s="31"/>
      <c r="D79" s="31"/>
      <c r="E79" s="31"/>
      <c r="F79" s="31"/>
      <c r="G79" s="31"/>
      <c r="H79" s="30"/>
      <c r="I79" s="30"/>
      <c r="J79" s="29"/>
      <c r="K79" s="29"/>
    </row>
    <row r="80" spans="1:11" s="3" customFormat="1" hidden="1" x14ac:dyDescent="0.2">
      <c r="A80" s="29"/>
      <c r="B80" s="31"/>
      <c r="C80" s="31"/>
      <c r="D80" s="31"/>
      <c r="E80" s="31"/>
      <c r="F80" s="31"/>
      <c r="G80" s="31"/>
      <c r="H80" s="30"/>
      <c r="I80" s="30"/>
      <c r="J80" s="29"/>
      <c r="K80" s="29"/>
    </row>
    <row r="81" spans="1:11" s="3" customFormat="1" hidden="1" x14ac:dyDescent="0.2">
      <c r="A81" s="29"/>
      <c r="B81" s="31"/>
      <c r="C81" s="31"/>
      <c r="D81" s="31"/>
      <c r="E81" s="31"/>
      <c r="F81" s="31"/>
      <c r="G81" s="31"/>
      <c r="H81" s="30"/>
      <c r="I81" s="30"/>
      <c r="J81" s="29"/>
      <c r="K81" s="29"/>
    </row>
    <row r="82" spans="1:11" s="3" customFormat="1" hidden="1" x14ac:dyDescent="0.2">
      <c r="A82" s="29"/>
      <c r="B82" s="31"/>
      <c r="C82" s="31"/>
      <c r="D82" s="31"/>
      <c r="E82" s="31"/>
      <c r="F82" s="31"/>
      <c r="G82" s="31"/>
      <c r="H82" s="30"/>
      <c r="I82" s="30"/>
      <c r="J82" s="29"/>
      <c r="K82" s="29"/>
    </row>
    <row r="83" spans="1:11" s="3" customFormat="1" hidden="1" x14ac:dyDescent="0.2">
      <c r="A83" s="29"/>
      <c r="B83" s="31"/>
      <c r="C83" s="31"/>
      <c r="D83" s="31"/>
      <c r="E83" s="31"/>
      <c r="F83" s="31"/>
      <c r="G83" s="31"/>
      <c r="H83" s="30"/>
      <c r="I83" s="30"/>
      <c r="J83" s="29"/>
      <c r="K83" s="29"/>
    </row>
    <row r="84" spans="1:11" s="3" customFormat="1" hidden="1" x14ac:dyDescent="0.2">
      <c r="A84" s="29"/>
      <c r="B84" s="31"/>
      <c r="C84" s="31"/>
      <c r="D84" s="31"/>
      <c r="E84" s="31"/>
      <c r="F84" s="31"/>
      <c r="G84" s="31"/>
      <c r="H84" s="30"/>
      <c r="I84" s="30"/>
      <c r="J84" s="29"/>
      <c r="K84" s="29"/>
    </row>
    <row r="85" spans="1:11" s="3" customFormat="1" hidden="1" x14ac:dyDescent="0.2">
      <c r="A85" s="29"/>
      <c r="B85" s="31"/>
      <c r="C85" s="31"/>
      <c r="D85" s="31"/>
      <c r="E85" s="31"/>
      <c r="F85" s="31"/>
      <c r="G85" s="31"/>
      <c r="H85" s="30"/>
      <c r="I85" s="30"/>
      <c r="J85" s="29"/>
      <c r="K85" s="29"/>
    </row>
    <row r="86" spans="1:11" s="3" customFormat="1" hidden="1" x14ac:dyDescent="0.2">
      <c r="A86" s="29"/>
      <c r="B86" s="31"/>
      <c r="C86" s="31"/>
      <c r="D86" s="31"/>
      <c r="E86" s="31"/>
      <c r="F86" s="31"/>
      <c r="G86" s="31"/>
      <c r="H86" s="30"/>
      <c r="I86" s="30"/>
      <c r="J86" s="29"/>
      <c r="K86" s="29"/>
    </row>
    <row r="87" spans="1:11" s="3" customFormat="1" hidden="1" x14ac:dyDescent="0.2">
      <c r="A87" s="29"/>
      <c r="B87" s="31"/>
      <c r="C87" s="31"/>
      <c r="D87" s="31"/>
      <c r="E87" s="31"/>
      <c r="F87" s="31"/>
      <c r="G87" s="31"/>
      <c r="H87" s="30"/>
      <c r="I87" s="30"/>
      <c r="J87" s="29"/>
      <c r="K87" s="29"/>
    </row>
    <row r="88" spans="1:11" s="3" customFormat="1" hidden="1" x14ac:dyDescent="0.2">
      <c r="A88" s="29"/>
      <c r="B88" s="31"/>
      <c r="C88" s="31"/>
      <c r="D88" s="31"/>
      <c r="E88" s="31"/>
      <c r="F88" s="31"/>
      <c r="G88" s="31"/>
      <c r="H88" s="30"/>
      <c r="I88" s="30"/>
      <c r="J88" s="29"/>
      <c r="K88" s="29"/>
    </row>
    <row r="89" spans="1:11" s="3" customFormat="1" hidden="1" x14ac:dyDescent="0.2">
      <c r="A89" s="29"/>
      <c r="B89" s="31"/>
      <c r="C89" s="31"/>
      <c r="D89" s="31"/>
      <c r="E89" s="31"/>
      <c r="F89" s="31"/>
      <c r="G89" s="31"/>
      <c r="H89" s="30"/>
      <c r="I89" s="30"/>
      <c r="J89" s="29"/>
      <c r="K89" s="29"/>
    </row>
    <row r="90" spans="1:11" s="3" customFormat="1" hidden="1" x14ac:dyDescent="0.2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</row>
    <row r="91" spans="1:11" s="3" customFormat="1" hidden="1" x14ac:dyDescent="0.2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</row>
    <row r="92" spans="1:11" s="3" customFormat="1" hidden="1" x14ac:dyDescent="0.2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</row>
    <row r="93" spans="1:11" s="3" customFormat="1" hidden="1" x14ac:dyDescent="0.2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</row>
    <row r="94" spans="1:11" s="3" customFormat="1" hidden="1" x14ac:dyDescent="0.2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</row>
    <row r="95" spans="1:11" s="3" customFormat="1" hidden="1" x14ac:dyDescent="0.2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</row>
    <row r="96" spans="1:11" s="3" customFormat="1" hidden="1" x14ac:dyDescent="0.2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</row>
    <row r="97" spans="1:11" s="3" customFormat="1" hidden="1" x14ac:dyDescent="0.2">
      <c r="A97" s="29"/>
      <c r="B97" s="29"/>
      <c r="C97" s="29"/>
      <c r="D97" s="29"/>
      <c r="J97" s="29"/>
      <c r="K97" s="29"/>
    </row>
    <row r="98" spans="1:11" s="3" customFormat="1" hidden="1" x14ac:dyDescent="0.2">
      <c r="A98" s="29"/>
      <c r="B98" s="29"/>
      <c r="C98" s="29"/>
      <c r="D98" s="29"/>
      <c r="J98" s="29"/>
      <c r="K98" s="29"/>
    </row>
    <row r="99" spans="1:11" s="3" customFormat="1" hidden="1" x14ac:dyDescent="0.2">
      <c r="A99" s="29"/>
      <c r="B99" s="29"/>
      <c r="C99" s="29"/>
      <c r="D99" s="29"/>
      <c r="J99" s="29"/>
      <c r="K99" s="29"/>
    </row>
    <row r="100" spans="1:11" s="3" customFormat="1" hidden="1" x14ac:dyDescent="0.2">
      <c r="A100" s="29"/>
      <c r="B100" s="29"/>
      <c r="C100" s="29"/>
      <c r="D100" s="29"/>
      <c r="J100" s="29"/>
      <c r="K100" s="29"/>
    </row>
    <row r="101" spans="1:11" s="3" customFormat="1" hidden="1" x14ac:dyDescent="0.2">
      <c r="A101" s="29"/>
      <c r="B101" s="29"/>
      <c r="C101" s="29"/>
      <c r="D101" s="29"/>
      <c r="J101" s="29"/>
      <c r="K101" s="29"/>
    </row>
    <row r="102" spans="1:11" s="3" customFormat="1" hidden="1" x14ac:dyDescent="0.2">
      <c r="A102" s="29"/>
      <c r="B102" s="29"/>
      <c r="C102" s="29"/>
      <c r="D102" s="29"/>
      <c r="J102" s="29"/>
      <c r="K102" s="29"/>
    </row>
    <row r="103" spans="1:11" s="3" customFormat="1" hidden="1" x14ac:dyDescent="0.2">
      <c r="A103" s="29"/>
      <c r="B103" s="29"/>
      <c r="C103" s="29"/>
      <c r="D103" s="29"/>
      <c r="J103" s="29"/>
      <c r="K103" s="29"/>
    </row>
    <row r="104" spans="1:11" s="3" customFormat="1" hidden="1" x14ac:dyDescent="0.2">
      <c r="A104" s="29"/>
      <c r="B104" s="29"/>
      <c r="C104" s="29"/>
      <c r="D104" s="29"/>
      <c r="J104" s="29"/>
      <c r="K104" s="29"/>
    </row>
    <row r="105" spans="1:11" s="3" customFormat="1" hidden="1" x14ac:dyDescent="0.2">
      <c r="A105" s="29"/>
      <c r="B105" s="29"/>
      <c r="C105" s="29"/>
      <c r="D105" s="29"/>
      <c r="J105" s="29"/>
      <c r="K105" s="29"/>
    </row>
    <row r="106" spans="1:11" s="3" customFormat="1" hidden="1" x14ac:dyDescent="0.2">
      <c r="A106" s="29"/>
      <c r="B106" s="29"/>
      <c r="C106" s="29"/>
      <c r="D106" s="29"/>
      <c r="J106" s="29"/>
      <c r="K106" s="29"/>
    </row>
    <row r="107" spans="1:11" s="3" customFormat="1" hidden="1" x14ac:dyDescent="0.2">
      <c r="A107" s="29"/>
      <c r="B107" s="29"/>
      <c r="C107" s="29"/>
      <c r="D107" s="29"/>
      <c r="J107" s="29"/>
      <c r="K107" s="29"/>
    </row>
    <row r="108" spans="1:11" s="3" customFormat="1" hidden="1" x14ac:dyDescent="0.2">
      <c r="A108" s="29"/>
      <c r="B108" s="29"/>
      <c r="C108" s="29"/>
      <c r="D108" s="29"/>
      <c r="J108" s="29"/>
      <c r="K108" s="29"/>
    </row>
    <row r="109" spans="1:11" s="3" customFormat="1" hidden="1" x14ac:dyDescent="0.2">
      <c r="A109" s="29"/>
      <c r="B109" s="29"/>
      <c r="C109" s="29"/>
      <c r="D109" s="29"/>
      <c r="J109" s="29"/>
      <c r="K109" s="29"/>
    </row>
    <row r="110" spans="1:11" s="3" customFormat="1" hidden="1" x14ac:dyDescent="0.2"/>
    <row r="111" spans="1:11" s="3" customFormat="1" hidden="1" x14ac:dyDescent="0.2"/>
    <row r="112" spans="1:11" s="3" customFormat="1" hidden="1" x14ac:dyDescent="0.2"/>
    <row r="113" s="3" customFormat="1" hidden="1" x14ac:dyDescent="0.2"/>
    <row r="114" s="3" customFormat="1" hidden="1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</sheetData>
  <sheetProtection selectLockedCells="1" selectUnlockedCells="1"/>
  <mergeCells count="47">
    <mergeCell ref="D15:E15"/>
    <mergeCell ref="F15:G15"/>
    <mergeCell ref="H15:I15"/>
    <mergeCell ref="A47:I47"/>
    <mergeCell ref="A48:I48"/>
    <mergeCell ref="A42:I42"/>
    <mergeCell ref="A43:I43"/>
    <mergeCell ref="A44:I44"/>
    <mergeCell ref="A45:I45"/>
    <mergeCell ref="A46:I46"/>
    <mergeCell ref="A15:A16"/>
    <mergeCell ref="B15:C15"/>
    <mergeCell ref="B12:C12"/>
    <mergeCell ref="D12:E12"/>
    <mergeCell ref="F12:G12"/>
    <mergeCell ref="H12:I12"/>
    <mergeCell ref="B13:C13"/>
    <mergeCell ref="D13:E13"/>
    <mergeCell ref="F13:G13"/>
    <mergeCell ref="H13:I13"/>
    <mergeCell ref="B10:C10"/>
    <mergeCell ref="D10:E10"/>
    <mergeCell ref="F10:G10"/>
    <mergeCell ref="H10:I10"/>
    <mergeCell ref="B11:C11"/>
    <mergeCell ref="D11:E11"/>
    <mergeCell ref="F11:G11"/>
    <mergeCell ref="H11:I11"/>
    <mergeCell ref="B8:C8"/>
    <mergeCell ref="D8:E8"/>
    <mergeCell ref="F8:G8"/>
    <mergeCell ref="H8:I8"/>
    <mergeCell ref="B9:C9"/>
    <mergeCell ref="D9:E9"/>
    <mergeCell ref="F9:G9"/>
    <mergeCell ref="H9:I9"/>
    <mergeCell ref="B6:I6"/>
    <mergeCell ref="B7:C7"/>
    <mergeCell ref="D7:E7"/>
    <mergeCell ref="F7:G7"/>
    <mergeCell ref="H7:I7"/>
    <mergeCell ref="A4:A5"/>
    <mergeCell ref="B4:I4"/>
    <mergeCell ref="B5:C5"/>
    <mergeCell ref="D5:E5"/>
    <mergeCell ref="F5:G5"/>
    <mergeCell ref="H5:I5"/>
  </mergeCells>
  <dataValidations count="7">
    <dataValidation type="list" allowBlank="1" showInputMessage="1" showErrorMessage="1" sqref="H13:I13" xr:uid="{00000000-0002-0000-0300-000000000000}">
      <formula1>CEXUI</formula1>
    </dataValidation>
    <dataValidation type="list" allowBlank="1" showInputMessage="1" showErrorMessage="1" sqref="F13:G13" xr:uid="{00000000-0002-0000-0300-000001000000}">
      <formula1>IANCJ</formula1>
    </dataValidation>
    <dataValidation type="list" allowBlank="1" showInputMessage="1" showErrorMessage="1" sqref="D13:E13" xr:uid="{00000000-0002-0000-0300-000002000000}">
      <formula1>MUGNQ</formula1>
    </dataValidation>
    <dataValidation type="list" allowBlank="1" showInputMessage="1" showErrorMessage="1" sqref="B13:C13" xr:uid="{00000000-0002-0000-0300-000003000000}">
      <formula1>BTYPS</formula1>
    </dataValidation>
    <dataValidation type="list" allowBlank="1" showInputMessage="1" showErrorMessage="1" sqref="B6:I6" xr:uid="{00000000-0002-0000-0300-000006000000}">
      <formula1>CCCMT</formula1>
    </dataValidation>
    <dataValidation type="list" allowBlank="1" showInputMessage="1" showErrorMessage="1" sqref="B12 D12 F12 H12" xr:uid="{00000000-0002-0000-0300-000007000000}">
      <formula1>"да, нет"</formula1>
    </dataValidation>
    <dataValidation type="decimal" operator="lessThanOrEqual" allowBlank="1" showInputMessage="1" showErrorMessage="1" sqref="H8 B8 D8 F8" xr:uid="{00000000-0002-0000-0300-000008000000}">
      <formula1>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6" firstPageNumber="0" fitToHeight="2" orientation="portrait" horizontalDpi="300" verticalDpi="300" r:id="rId1"/>
  <headerFooter scaleWithDoc="0"/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CC00"/>
    <pageSetUpPr fitToPage="1"/>
  </sheetPr>
  <dimension ref="A1:AG190"/>
  <sheetViews>
    <sheetView showGridLines="0" zoomScale="85" zoomScaleNormal="85" zoomScaleSheetLayoutView="50" zoomScalePageLayoutView="55" workbookViewId="0">
      <pane ySplit="14" topLeftCell="A15" activePane="bottomLeft" state="frozen"/>
      <selection pane="bottomLeft"/>
    </sheetView>
  </sheetViews>
  <sheetFormatPr defaultRowHeight="12.75" x14ac:dyDescent="0.2"/>
  <cols>
    <col min="1" max="1" width="55.7109375" style="2" customWidth="1"/>
    <col min="2" max="2" width="14" style="2" customWidth="1"/>
    <col min="3" max="3" width="13.140625" style="2" customWidth="1"/>
    <col min="4" max="4" width="15.5703125" style="2" customWidth="1"/>
    <col min="5" max="6" width="14.42578125" style="2" customWidth="1"/>
    <col min="7" max="7" width="12.5703125" style="2" customWidth="1"/>
    <col min="8" max="8" width="13.5703125" style="2" customWidth="1"/>
    <col min="9" max="9" width="14.85546875" style="2" customWidth="1"/>
    <col min="10" max="10" width="25.28515625" style="2" customWidth="1"/>
    <col min="11" max="11" width="15.42578125" style="2" customWidth="1"/>
    <col min="12" max="12" width="9" style="2" customWidth="1"/>
    <col min="13" max="13" width="13.85546875" style="2" customWidth="1"/>
    <col min="14" max="14" width="10.85546875" style="2" customWidth="1"/>
    <col min="15" max="16384" width="9.140625" style="2"/>
  </cols>
  <sheetData>
    <row r="1" spans="1:11" x14ac:dyDescent="0.2">
      <c r="A1" s="152">
        <v>45273</v>
      </c>
      <c r="B1" s="104"/>
      <c r="C1" s="104"/>
      <c r="D1" s="104"/>
      <c r="E1" s="1"/>
      <c r="F1" s="1"/>
      <c r="H1" s="49"/>
      <c r="I1" s="4"/>
    </row>
    <row r="2" spans="1:11" ht="27" customHeight="1" thickBot="1" x14ac:dyDescent="0.25">
      <c r="A2" s="111" t="s">
        <v>170</v>
      </c>
      <c r="B2" s="111"/>
      <c r="C2" s="111"/>
      <c r="D2" s="111"/>
      <c r="E2" s="111"/>
      <c r="F2" s="111"/>
      <c r="G2" s="111"/>
      <c r="H2" s="111"/>
      <c r="I2" s="111"/>
      <c r="K2" s="4"/>
    </row>
    <row r="3" spans="1:11" ht="16.5" customHeight="1" x14ac:dyDescent="0.2">
      <c r="A3" s="5"/>
      <c r="B3" s="6"/>
      <c r="H3" s="7"/>
      <c r="I3" s="7"/>
      <c r="J3" s="9"/>
      <c r="K3" s="9"/>
    </row>
    <row r="4" spans="1:11" ht="16.5" customHeight="1" x14ac:dyDescent="0.2">
      <c r="A4" s="176" t="s">
        <v>171</v>
      </c>
      <c r="B4" s="162" t="s">
        <v>30</v>
      </c>
      <c r="C4" s="162"/>
      <c r="D4" s="162"/>
      <c r="E4" s="162"/>
      <c r="F4" s="162"/>
      <c r="G4" s="162"/>
      <c r="H4" s="162"/>
      <c r="I4" s="162"/>
      <c r="J4" s="9"/>
      <c r="K4" s="9"/>
    </row>
    <row r="5" spans="1:11" ht="16.5" customHeight="1" x14ac:dyDescent="0.2">
      <c r="A5" s="176"/>
      <c r="B5" s="172" t="s">
        <v>32</v>
      </c>
      <c r="C5" s="172"/>
      <c r="D5" s="172" t="s">
        <v>33</v>
      </c>
      <c r="E5" s="172"/>
      <c r="F5" s="172" t="s">
        <v>34</v>
      </c>
      <c r="G5" s="172"/>
      <c r="H5" s="172" t="s">
        <v>35</v>
      </c>
      <c r="I5" s="172"/>
      <c r="J5" s="9"/>
      <c r="K5" s="9"/>
    </row>
    <row r="6" spans="1:11" ht="17.25" customHeight="1" x14ac:dyDescent="0.2">
      <c r="A6" s="68" t="s">
        <v>123</v>
      </c>
      <c r="B6" s="171">
        <v>0</v>
      </c>
      <c r="C6" s="171"/>
      <c r="D6" s="169">
        <v>0</v>
      </c>
      <c r="E6" s="170"/>
      <c r="F6" s="169">
        <v>0</v>
      </c>
      <c r="G6" s="170"/>
      <c r="H6" s="169">
        <v>0</v>
      </c>
      <c r="I6" s="170"/>
      <c r="J6" s="6" t="s">
        <v>126</v>
      </c>
      <c r="K6" s="9"/>
    </row>
    <row r="7" spans="1:11" ht="17.25" customHeight="1" x14ac:dyDescent="0.2">
      <c r="A7" s="68" t="s">
        <v>38</v>
      </c>
      <c r="B7" s="171">
        <v>0</v>
      </c>
      <c r="C7" s="171"/>
      <c r="D7" s="171">
        <v>0</v>
      </c>
      <c r="E7" s="171"/>
      <c r="F7" s="171">
        <v>0</v>
      </c>
      <c r="G7" s="171"/>
      <c r="H7" s="171">
        <v>0</v>
      </c>
      <c r="I7" s="171"/>
      <c r="J7" s="6" t="s">
        <v>127</v>
      </c>
      <c r="K7" s="9"/>
    </row>
    <row r="8" spans="1:11" ht="17.25" customHeight="1" x14ac:dyDescent="0.2">
      <c r="A8" s="68" t="s">
        <v>40</v>
      </c>
      <c r="B8" s="171">
        <v>0</v>
      </c>
      <c r="C8" s="171"/>
      <c r="D8" s="171">
        <v>0</v>
      </c>
      <c r="E8" s="171"/>
      <c r="F8" s="171">
        <v>0</v>
      </c>
      <c r="G8" s="171"/>
      <c r="H8" s="171">
        <v>0</v>
      </c>
      <c r="I8" s="171"/>
      <c r="J8" s="6" t="s">
        <v>128</v>
      </c>
      <c r="K8" s="9"/>
    </row>
    <row r="9" spans="1:11" ht="17.25" customHeight="1" x14ac:dyDescent="0.2">
      <c r="A9" s="69" t="s">
        <v>41</v>
      </c>
      <c r="B9" s="171">
        <v>0</v>
      </c>
      <c r="C9" s="171"/>
      <c r="D9" s="171">
        <v>0</v>
      </c>
      <c r="E9" s="171"/>
      <c r="F9" s="171">
        <v>0</v>
      </c>
      <c r="G9" s="171"/>
      <c r="H9" s="171">
        <v>0</v>
      </c>
      <c r="I9" s="171"/>
      <c r="J9" s="6" t="s">
        <v>128</v>
      </c>
      <c r="K9" s="9"/>
    </row>
    <row r="10" spans="1:11" ht="17.25" customHeight="1" x14ac:dyDescent="0.2">
      <c r="A10" s="69" t="s">
        <v>183</v>
      </c>
      <c r="B10" s="171">
        <v>0</v>
      </c>
      <c r="C10" s="171"/>
      <c r="D10" s="171">
        <v>0</v>
      </c>
      <c r="E10" s="171"/>
      <c r="F10" s="171">
        <v>0</v>
      </c>
      <c r="G10" s="171"/>
      <c r="H10" s="171">
        <v>0</v>
      </c>
      <c r="I10" s="171"/>
      <c r="J10" s="6" t="s">
        <v>128</v>
      </c>
      <c r="K10" s="9"/>
    </row>
    <row r="11" spans="1:11" ht="17.25" customHeight="1" x14ac:dyDescent="0.2">
      <c r="A11" s="68" t="s">
        <v>44</v>
      </c>
      <c r="B11" s="171" t="s">
        <v>45</v>
      </c>
      <c r="C11" s="171"/>
      <c r="D11" s="171" t="s">
        <v>45</v>
      </c>
      <c r="E11" s="171"/>
      <c r="F11" s="171" t="s">
        <v>45</v>
      </c>
      <c r="G11" s="171"/>
      <c r="H11" s="171" t="s">
        <v>45</v>
      </c>
      <c r="I11" s="171"/>
      <c r="J11" s="6" t="s">
        <v>126</v>
      </c>
      <c r="K11" s="9"/>
    </row>
    <row r="12" spans="1:11" ht="17.25" customHeight="1" x14ac:dyDescent="0.2">
      <c r="A12" s="68" t="s">
        <v>172</v>
      </c>
      <c r="B12" s="169" t="s">
        <v>45</v>
      </c>
      <c r="C12" s="170"/>
      <c r="D12" s="169" t="s">
        <v>45</v>
      </c>
      <c r="E12" s="170"/>
      <c r="F12" s="169" t="s">
        <v>45</v>
      </c>
      <c r="G12" s="170"/>
      <c r="H12" s="169" t="s">
        <v>45</v>
      </c>
      <c r="I12" s="170"/>
      <c r="J12" s="6" t="s">
        <v>126</v>
      </c>
      <c r="K12" s="9"/>
    </row>
    <row r="13" spans="1:11" ht="29.25" customHeight="1" x14ac:dyDescent="0.2">
      <c r="A13" s="68" t="s">
        <v>173</v>
      </c>
      <c r="B13" s="154" t="s">
        <v>45</v>
      </c>
      <c r="C13" s="155"/>
      <c r="D13" s="154" t="s">
        <v>45</v>
      </c>
      <c r="E13" s="155"/>
      <c r="F13" s="154" t="s">
        <v>45</v>
      </c>
      <c r="G13" s="155"/>
      <c r="H13" s="154" t="s">
        <v>45</v>
      </c>
      <c r="I13" s="155"/>
      <c r="J13" s="6" t="s">
        <v>126</v>
      </c>
      <c r="K13" s="9"/>
    </row>
    <row r="14" spans="1:11" ht="17.25" customHeight="1" x14ac:dyDescent="0.2">
      <c r="A14" s="68" t="s">
        <v>161</v>
      </c>
      <c r="B14" s="154" t="s">
        <v>159</v>
      </c>
      <c r="C14" s="155"/>
      <c r="D14" s="154" t="s">
        <v>10</v>
      </c>
      <c r="E14" s="155"/>
      <c r="F14" s="154" t="s">
        <v>10</v>
      </c>
      <c r="G14" s="155"/>
      <c r="H14" s="154" t="s">
        <v>10</v>
      </c>
      <c r="I14" s="155"/>
      <c r="J14" s="6" t="s">
        <v>126</v>
      </c>
      <c r="K14" s="9"/>
    </row>
    <row r="15" spans="1:11" ht="45.75" customHeight="1" x14ac:dyDescent="0.2">
      <c r="A15" s="91"/>
      <c r="H15" s="7"/>
      <c r="I15" s="7"/>
      <c r="J15" s="9"/>
      <c r="K15" s="9"/>
    </row>
    <row r="16" spans="1:11" ht="16.5" customHeight="1" x14ac:dyDescent="0.2">
      <c r="A16" s="162" t="s">
        <v>174</v>
      </c>
      <c r="B16" s="163" t="s">
        <v>0</v>
      </c>
      <c r="C16" s="164"/>
      <c r="D16" s="164" t="s">
        <v>1</v>
      </c>
      <c r="E16" s="164"/>
      <c r="F16" s="164" t="s">
        <v>2</v>
      </c>
      <c r="G16" s="164"/>
      <c r="H16" s="164" t="s">
        <v>3</v>
      </c>
      <c r="I16" s="165"/>
      <c r="K16" s="9"/>
    </row>
    <row r="17" spans="1:11" ht="16.5" customHeight="1" x14ac:dyDescent="0.2">
      <c r="A17" s="162"/>
      <c r="B17" s="108" t="s">
        <v>6</v>
      </c>
      <c r="C17" s="71" t="s">
        <v>7</v>
      </c>
      <c r="D17" s="72" t="s">
        <v>6</v>
      </c>
      <c r="E17" s="71" t="s">
        <v>7</v>
      </c>
      <c r="F17" s="72" t="s">
        <v>6</v>
      </c>
      <c r="G17" s="71" t="s">
        <v>7</v>
      </c>
      <c r="H17" s="72" t="s">
        <v>6</v>
      </c>
      <c r="I17" s="108" t="s">
        <v>7</v>
      </c>
      <c r="K17" s="9"/>
    </row>
    <row r="18" spans="1:11" ht="16.5" customHeight="1" x14ac:dyDescent="0.2">
      <c r="A18" s="73" t="s">
        <v>84</v>
      </c>
      <c r="B18" s="73"/>
      <c r="C18" s="74"/>
      <c r="D18" s="75"/>
      <c r="E18" s="76"/>
      <c r="F18" s="75"/>
      <c r="G18" s="76"/>
      <c r="H18" s="75"/>
      <c r="I18" s="77"/>
      <c r="K18" s="9"/>
    </row>
    <row r="19" spans="1:11" ht="16.5" customHeight="1" x14ac:dyDescent="0.2">
      <c r="A19" s="46" t="s">
        <v>164</v>
      </c>
      <c r="B19" s="53">
        <f>IF(B7=0,0,B7)</f>
        <v>0</v>
      </c>
      <c r="C19" s="54">
        <f>IF(B19=0,0,VLOOKUP(B6,Данные!$A$184:$B$210,2,FALSE)*B8)</f>
        <v>0</v>
      </c>
      <c r="D19" s="55">
        <f>IF(D7=0,0,D7)</f>
        <v>0</v>
      </c>
      <c r="E19" s="54">
        <f>IF(D19=0,0,VLOOKUP(D6,Данные!$A$184:$B$210,2,FALSE)*D8)</f>
        <v>0</v>
      </c>
      <c r="F19" s="55">
        <f>IF(F7=0,0,F7)</f>
        <v>0</v>
      </c>
      <c r="G19" s="54">
        <f>IF(F19=0,0,VLOOKUP(F6,Данные!$A$184:$B$210,2,FALSE)*F8)</f>
        <v>0</v>
      </c>
      <c r="H19" s="55">
        <f>IF(H7=0,0,H7)</f>
        <v>0</v>
      </c>
      <c r="I19" s="56">
        <f>IF(H19=0,0,VLOOKUP(H6,Данные!$A$184:$B$210,2,FALSE)*H8)</f>
        <v>0</v>
      </c>
      <c r="K19" s="9"/>
    </row>
    <row r="20" spans="1:11" ht="16.5" customHeight="1" x14ac:dyDescent="0.2">
      <c r="A20" s="46" t="s">
        <v>184</v>
      </c>
      <c r="B20" s="53">
        <f>IF(B6=0,0,B6)</f>
        <v>0</v>
      </c>
      <c r="C20" s="54">
        <f>IF(B20=0,0,2*B8)</f>
        <v>0</v>
      </c>
      <c r="D20" s="53">
        <f>IF(D6=0,0,D6)</f>
        <v>0</v>
      </c>
      <c r="E20" s="54">
        <f>IF(D20=0,0,2*D8)</f>
        <v>0</v>
      </c>
      <c r="F20" s="53">
        <f>IF(F6=0,0,F6)</f>
        <v>0</v>
      </c>
      <c r="G20" s="54">
        <f>IF(F20=0,0,2*F8)</f>
        <v>0</v>
      </c>
      <c r="H20" s="53">
        <f>IF(H6=0,0,H6)</f>
        <v>0</v>
      </c>
      <c r="I20" s="56">
        <f>IF(H20=0,0,2*H8)</f>
        <v>0</v>
      </c>
      <c r="K20" s="9"/>
    </row>
    <row r="21" spans="1:11" ht="16.5" customHeight="1" x14ac:dyDescent="0.2">
      <c r="A21" s="46" t="s">
        <v>166</v>
      </c>
      <c r="B21" s="53">
        <f>IF(B7=0,0,B7)</f>
        <v>0</v>
      </c>
      <c r="C21" s="54">
        <f>IF(B21=0,0,2*B8)</f>
        <v>0</v>
      </c>
      <c r="D21" s="53">
        <f>IF(D7=0,0,D7)</f>
        <v>0</v>
      </c>
      <c r="E21" s="54">
        <f>IF(D21=0,0,2*D8)</f>
        <v>0</v>
      </c>
      <c r="F21" s="53">
        <f>IF(F7=0,0,F7)</f>
        <v>0</v>
      </c>
      <c r="G21" s="54">
        <f>IF(F21=0,0,2*F8)</f>
        <v>0</v>
      </c>
      <c r="H21" s="53">
        <f>IF(H7=0,0,H7)</f>
        <v>0</v>
      </c>
      <c r="I21" s="56">
        <f>IF(H21=0,0,2*H8)</f>
        <v>0</v>
      </c>
      <c r="K21" s="9"/>
    </row>
    <row r="22" spans="1:11" ht="16.5" customHeight="1" x14ac:dyDescent="0.2">
      <c r="A22" s="46" t="s">
        <v>167</v>
      </c>
      <c r="B22" s="53">
        <f t="shared" ref="B22:I22" si="0">B21</f>
        <v>0</v>
      </c>
      <c r="C22" s="54">
        <f t="shared" si="0"/>
        <v>0</v>
      </c>
      <c r="D22" s="53">
        <f t="shared" si="0"/>
        <v>0</v>
      </c>
      <c r="E22" s="54">
        <f t="shared" si="0"/>
        <v>0</v>
      </c>
      <c r="F22" s="53">
        <f t="shared" si="0"/>
        <v>0</v>
      </c>
      <c r="G22" s="54">
        <f t="shared" si="0"/>
        <v>0</v>
      </c>
      <c r="H22" s="53">
        <f t="shared" si="0"/>
        <v>0</v>
      </c>
      <c r="I22" s="56">
        <f t="shared" si="0"/>
        <v>0</v>
      </c>
      <c r="K22" s="9"/>
    </row>
    <row r="23" spans="1:11" ht="16.5" customHeight="1" x14ac:dyDescent="0.2">
      <c r="A23" s="46" t="s">
        <v>168</v>
      </c>
      <c r="B23" s="53">
        <f>IF(B6=0,0,B6-0.1)</f>
        <v>0</v>
      </c>
      <c r="C23" s="54">
        <f>IF(B23=0,0,IF(AND(B7&gt;0,OR(B7&lt;1.5,B7=1.5)),3*B8,IF(AND(B7&gt;1.5,OR(B7&lt;2.2,B7=2.2)),4*B8,IF(AND(B7&gt;2.21,OR(B7&lt;3,B7=3)),5*B8,0))))</f>
        <v>0</v>
      </c>
      <c r="D23" s="53">
        <f>IF(D6=0,0,D6-0.1)</f>
        <v>0</v>
      </c>
      <c r="E23" s="54">
        <f>IF(D23=0,0,IF(AND(D7&gt;0,OR(D7&lt;1.5,D7=1.5)),3*D8,IF(AND(D7&gt;1.5,OR(D7&lt;2.2,D7=2.2)),4*D8,IF(AND(D7&gt;2.2,OR(D7&lt;3,D7=3)),5*D8,0))))</f>
        <v>0</v>
      </c>
      <c r="F23" s="53">
        <f>IF(F6=0,0,F6-0.1)</f>
        <v>0</v>
      </c>
      <c r="G23" s="54">
        <f>IF(F23=0,0,IF(AND(F7&gt;0,OR(F7&lt;1.5,F7=1.5)),3*F8,IF(AND(F7&gt;1.5,OR(F7&lt;2.2,F7=2.2)),4*F8,IF(AND(F7&gt;2.2,OR(F7&lt;3,F7=3)),5*F8,0))))</f>
        <v>0</v>
      </c>
      <c r="H23" s="53">
        <f>IF(H6=0,0,H6-0.1)</f>
        <v>0</v>
      </c>
      <c r="I23" s="56">
        <f>IF(H23=0,0,IF(AND(H7&gt;0,OR(H7&lt;1.5,H7=1.5)),3*H8,IF(AND(H7&gt;1.5,OR(H7&lt;2.2,H7=2.2)),4*H8,IF(AND(H7&gt;2.2,OR(H7&lt;3,H7=3)),5*H8,0))))</f>
        <v>0</v>
      </c>
      <c r="K23" s="9"/>
    </row>
    <row r="24" spans="1:11" ht="16.5" customHeight="1" x14ac:dyDescent="0.2">
      <c r="A24" s="46" t="s">
        <v>169</v>
      </c>
      <c r="B24" s="53">
        <f t="shared" ref="B24:I24" si="1">B23</f>
        <v>0</v>
      </c>
      <c r="C24" s="54">
        <f t="shared" si="1"/>
        <v>0</v>
      </c>
      <c r="D24" s="53">
        <f t="shared" si="1"/>
        <v>0</v>
      </c>
      <c r="E24" s="54">
        <f t="shared" si="1"/>
        <v>0</v>
      </c>
      <c r="F24" s="53">
        <f t="shared" si="1"/>
        <v>0</v>
      </c>
      <c r="G24" s="54">
        <f t="shared" si="1"/>
        <v>0</v>
      </c>
      <c r="H24" s="53">
        <f t="shared" si="1"/>
        <v>0</v>
      </c>
      <c r="I24" s="56">
        <f t="shared" si="1"/>
        <v>0</v>
      </c>
      <c r="K24" s="9"/>
    </row>
    <row r="25" spans="1:11" ht="16.5" customHeight="1" x14ac:dyDescent="0.2">
      <c r="A25" s="46" t="s">
        <v>165</v>
      </c>
      <c r="B25" s="53">
        <f>IF(B7=0,0,B7)</f>
        <v>0</v>
      </c>
      <c r="C25" s="54">
        <f>IF(B25=0,0,B8)</f>
        <v>0</v>
      </c>
      <c r="D25" s="53">
        <f>IF(D7=0,0,D7)</f>
        <v>0</v>
      </c>
      <c r="E25" s="54">
        <f>IF(D25=0,0,D8)</f>
        <v>0</v>
      </c>
      <c r="F25" s="53">
        <f>IF(F7=0,0,F7)</f>
        <v>0</v>
      </c>
      <c r="G25" s="54">
        <f>IF(F25=0,0,F8)</f>
        <v>0</v>
      </c>
      <c r="H25" s="53">
        <f>IF(H7=0,0,H7)</f>
        <v>0</v>
      </c>
      <c r="I25" s="56">
        <f>IF(H25=0,0,H8)</f>
        <v>0</v>
      </c>
      <c r="K25" s="9"/>
    </row>
    <row r="26" spans="1:11" ht="16.5" customHeight="1" x14ac:dyDescent="0.2">
      <c r="A26" s="46" t="s">
        <v>4</v>
      </c>
      <c r="B26" s="53">
        <f>IF(AND(B6&gt;0,B11="да"),0,B6)</f>
        <v>0</v>
      </c>
      <c r="C26" s="54">
        <f>IF(B26=0,0,IF(B8=0,0,IF(B8=1,2*2,IF(B10=0,(B8+1)*2-C27,(B8+1+B10)*2-C27))))</f>
        <v>0</v>
      </c>
      <c r="D26" s="55">
        <f>IF(AND(D6&gt;0,D11="да"),0,D6)</f>
        <v>0</v>
      </c>
      <c r="E26" s="54">
        <f>IF(D26=0,0,IF(D8=0,0,IF(D8=1,2*2,IF(D10=0,(D8+1)*2-E27,(D8+1+D10)*2-E27))))</f>
        <v>0</v>
      </c>
      <c r="F26" s="55">
        <f>IF(AND(F6&gt;0,F11="да"),0,F6)</f>
        <v>0</v>
      </c>
      <c r="G26" s="54">
        <f>IF(F26=0,0,IF(F8=0,0,IF(F8=1,2*2,IF(F10=0,(F8+1)*2-G27,(F8+1+F10)*2-G27))))</f>
        <v>0</v>
      </c>
      <c r="H26" s="55">
        <f>IF(AND(H6&gt;0,H11="да"),0,H6)</f>
        <v>0</v>
      </c>
      <c r="I26" s="56">
        <f>IF(H26=0,0,IF(H8=0,0,IF(H8=1,2*2,IF(H10=0,(H8+1)*2-I27,(H8+1+H10)*2-I27))))</f>
        <v>0</v>
      </c>
      <c r="J26" s="89"/>
      <c r="K26" s="9"/>
    </row>
    <row r="27" spans="1:11" ht="16.5" customHeight="1" x14ac:dyDescent="0.2">
      <c r="A27" s="46" t="s">
        <v>8</v>
      </c>
      <c r="B27" s="53">
        <f>IF(OR(AND(B9=0,B10=0),B11="да"),0,B6)</f>
        <v>0</v>
      </c>
      <c r="C27" s="54">
        <f>IF(B27=0,0,B9+B10*2)</f>
        <v>0</v>
      </c>
      <c r="D27" s="55">
        <f>IF(OR(AND(D9=0,D10=0),D11="да"),0,D6)</f>
        <v>0</v>
      </c>
      <c r="E27" s="54">
        <f>IF(D27=0,0,D9+D10*2)</f>
        <v>0</v>
      </c>
      <c r="F27" s="55">
        <f>IF(OR(AND(F9=0,F10=0),F11="да"),0,F6)</f>
        <v>0</v>
      </c>
      <c r="G27" s="54">
        <f>IF(F27=0,0,F9+F10*2)</f>
        <v>0</v>
      </c>
      <c r="H27" s="55">
        <f>IF(OR(AND(H9=0,H10=0),H11="да"),0,H6)</f>
        <v>0</v>
      </c>
      <c r="I27" s="56">
        <f>IF(H27=0,0,H9+H10*2)</f>
        <v>0</v>
      </c>
      <c r="K27" s="9"/>
    </row>
    <row r="28" spans="1:11" ht="16.5" customHeight="1" x14ac:dyDescent="0.2">
      <c r="A28" s="107" t="s">
        <v>162</v>
      </c>
      <c r="B28" s="57" t="s">
        <v>10</v>
      </c>
      <c r="C28" s="54">
        <f>IF(B11="да",0,(IF(B8=0,0,IF(B8=1,2,IF(B10=0,B8+1,B8+1+B10)))))</f>
        <v>0</v>
      </c>
      <c r="D28" s="58" t="s">
        <v>10</v>
      </c>
      <c r="E28" s="54">
        <f>IF(D11="да",0,(IF(D8=0,0,IF(D8=1,2,IF(D10=0,D8+1,D8+1+D10)))))</f>
        <v>0</v>
      </c>
      <c r="F28" s="58" t="s">
        <v>10</v>
      </c>
      <c r="G28" s="54">
        <f>IF(F11="да",0,(IF(F8=0,0,IF(F8=1,2,IF(F10=0,F8+1,F8+1+F10)))))</f>
        <v>0</v>
      </c>
      <c r="H28" s="58" t="s">
        <v>10</v>
      </c>
      <c r="I28" s="56">
        <f>IF(H11="да",0,(IF(H8=0,0,IF(H8=1,2,IF(H10=0,H8+1,H8+1+H10)))))</f>
        <v>0</v>
      </c>
      <c r="K28" s="9"/>
    </row>
    <row r="29" spans="1:11" ht="16.5" customHeight="1" x14ac:dyDescent="0.2">
      <c r="A29" s="109" t="s">
        <v>67</v>
      </c>
      <c r="B29" s="57" t="str">
        <f>IF(C29=0,"-","4,2х19")</f>
        <v>-</v>
      </c>
      <c r="C29" s="54">
        <f>IF(B$8=0,0,IF(B$11="нет",ROUNDUP(B20/0.4,0)*C20,0)+ROUNDUP(B23/0.4,0)*B8*2)</f>
        <v>0</v>
      </c>
      <c r="D29" s="57" t="str">
        <f>IF(E29=0,"-","4,2х19")</f>
        <v>-</v>
      </c>
      <c r="E29" s="54">
        <f>IF(D$8=0,0,IF(D$11="нет",ROUNDUP(D20/0.4,0)*E20,0)+ROUNDUP(D23/0.4,0)*D8*2)</f>
        <v>0</v>
      </c>
      <c r="F29" s="57" t="str">
        <f>IF(G29=0,"-","4,2х19")</f>
        <v>-</v>
      </c>
      <c r="G29" s="54">
        <f>IF(F$8=0,0,IF(F$11="нет",ROUNDUP(F20/0.4,0)*G20,0)+ROUNDUP(F23/0.4,0)*F8*2)</f>
        <v>0</v>
      </c>
      <c r="H29" s="57" t="str">
        <f>IF(I29=0,"-","4,2х19")</f>
        <v>-</v>
      </c>
      <c r="I29" s="56">
        <f>IF(H$8=0,0,IF(H$11="нет",ROUNDUP(H20/0.4,0)*I20,0)+ROUNDUP(H23/0.4,0)*H8*2)</f>
        <v>0</v>
      </c>
      <c r="K29" s="9"/>
    </row>
    <row r="30" spans="1:11" ht="16.5" customHeight="1" x14ac:dyDescent="0.2">
      <c r="A30" s="46" t="s">
        <v>13</v>
      </c>
      <c r="B30" s="57" t="str">
        <f>IF(C30=0,"-","4,2x16")</f>
        <v>-</v>
      </c>
      <c r="C30" s="54">
        <f>IF(B$8=0,0,B$8*8+(C23-2*B$8)*2+4*C25+(C23-2*B$8)*2)+IF(AND(B7&gt;0,OR(B7&lt;1.5,B7=1.5)),ROUNDUP(C19/2,0),IF(AND(B7&gt;1.5,OR(B7&lt;2.2,B7=2.2)),C19*1,IF(AND(B7&gt;2.21,OR(B7&lt;3,B7=3)),ROUNDUP((C19/2*1+C19/2*2)/B$8,0)*B$8)))</f>
        <v>0</v>
      </c>
      <c r="D30" s="57" t="str">
        <f>IF(E30=0,"-","4,2x16")</f>
        <v>-</v>
      </c>
      <c r="E30" s="54">
        <f>IF(D$8=0,0,D$8*8+(E23-2*D$8)*2+4*E25+(E23-2*D$8)*2)+IF(AND(D7&gt;0,OR(D7&lt;1.5,D7=1.5)),ROUNDUP(E19/2,0),IF(AND(D7&gt;1.5,OR(D7&lt;2.2,D7=2.2)),E19*1,IF(AND(D7&gt;2.21,OR(D7&lt;3,D7=3)),ROUNDUP((E19/2*1+E19/2*2)/D$8,0)*D$8)))</f>
        <v>0</v>
      </c>
      <c r="F30" s="57" t="str">
        <f>IF(G30=0,"-","4,2x16")</f>
        <v>-</v>
      </c>
      <c r="G30" s="54">
        <f>IF(F$8=0,0,F$8*8+(G23-2*F$8)*2+4*G25+(G23-2*F$8)*2)+IF(AND(F7&gt;0,OR(F7&lt;1.5,F7=1.5)),ROUNDUP(G19/2,0),IF(AND(F7&gt;1.5,OR(F7&lt;2.2,F7=2.2)),G19*1,IF(AND(F7&gt;2.21,OR(F7&lt;3,F7=3)),ROUNDUP((G19/2*1+G19/2*2)/F$8,0)*F$8)))</f>
        <v>0</v>
      </c>
      <c r="H30" s="57" t="str">
        <f>IF(I30=0,"-","4,2x16")</f>
        <v>-</v>
      </c>
      <c r="I30" s="56">
        <f>IF(H$8=0,0,H$8*8+(I23-2*H$8)*2+4*I25+(I23-2*H$8)*2)+IF(AND(H7&gt;0,OR(H7&lt;1.5,H7=1.5)),ROUNDUP(I19/2,0),IF(AND(H7&gt;1.5,OR(H7&lt;2.2,H7=2.2)),I19*1,IF(AND(H7&gt;2.21,OR(H7&lt;3,H7=3)),ROUNDUP((I19/2*1+I19/2*2)/H$8,0)*H$8)))</f>
        <v>0</v>
      </c>
      <c r="K30" s="9"/>
    </row>
    <row r="31" spans="1:11" ht="16.5" customHeight="1" x14ac:dyDescent="0.2">
      <c r="A31" s="46" t="s">
        <v>177</v>
      </c>
      <c r="B31" s="57" t="str">
        <f>IF(C31=0,"-","7,5x52")</f>
        <v>-</v>
      </c>
      <c r="C31" s="54">
        <f>IF(B$8=0,0,IF(B$11="да",ROUNDUP(B20/0.4,0)*C20,0))</f>
        <v>0</v>
      </c>
      <c r="D31" s="57" t="str">
        <f>IF(E31=0,"-","7,5x52")</f>
        <v>-</v>
      </c>
      <c r="E31" s="54">
        <f>IF(D$8=0,0,IF(D$11="да",ROUNDUP(D20/0.4,0)*E20,0))</f>
        <v>0</v>
      </c>
      <c r="F31" s="57" t="str">
        <f>IF(G31=0,"-","7,5x52")</f>
        <v>-</v>
      </c>
      <c r="G31" s="54">
        <f>IF(F$8=0,0,IF(F$11="да",ROUNDUP(F20/0.4,0)*G20,0))</f>
        <v>0</v>
      </c>
      <c r="H31" s="57" t="str">
        <f>IF(I31=0,"-","7,5x52")</f>
        <v>-</v>
      </c>
      <c r="I31" s="56">
        <f>IF(H$8=0,0,IF(H$11="да",ROUNDUP(H20/0.4,0)*I20,0))</f>
        <v>0</v>
      </c>
      <c r="K31" s="9"/>
    </row>
    <row r="32" spans="1:11" ht="16.5" customHeight="1" x14ac:dyDescent="0.2">
      <c r="A32" s="46" t="s">
        <v>52</v>
      </c>
      <c r="B32" s="57"/>
      <c r="C32" s="54">
        <f>C31</f>
        <v>0</v>
      </c>
      <c r="D32" s="95"/>
      <c r="E32" s="54">
        <f>E31</f>
        <v>0</v>
      </c>
      <c r="F32" s="95"/>
      <c r="G32" s="54">
        <f>G31</f>
        <v>0</v>
      </c>
      <c r="H32" s="95"/>
      <c r="I32" s="56">
        <f>I31</f>
        <v>0</v>
      </c>
      <c r="K32" s="9"/>
    </row>
    <row r="33" spans="1:11" ht="16.5" customHeight="1" x14ac:dyDescent="0.2">
      <c r="A33" s="73" t="s">
        <v>15</v>
      </c>
      <c r="B33" s="73"/>
      <c r="C33" s="74"/>
      <c r="D33" s="75"/>
      <c r="E33" s="76"/>
      <c r="F33" s="75"/>
      <c r="G33" s="76"/>
      <c r="H33" s="75"/>
      <c r="I33" s="77"/>
      <c r="K33" s="9"/>
    </row>
    <row r="34" spans="1:11" ht="16.5" customHeight="1" x14ac:dyDescent="0.2">
      <c r="A34" s="46" t="str">
        <f>IF(B12="нет","-",B12)</f>
        <v>-</v>
      </c>
      <c r="B34" s="59"/>
      <c r="C34" s="54">
        <f>IF($B$12=$A34,1,0)</f>
        <v>0</v>
      </c>
      <c r="D34" s="60"/>
      <c r="E34" s="54"/>
      <c r="F34" s="60"/>
      <c r="G34" s="54"/>
      <c r="H34" s="60"/>
      <c r="I34" s="56"/>
      <c r="K34" s="9"/>
    </row>
    <row r="35" spans="1:11" ht="16.5" customHeight="1" x14ac:dyDescent="0.2">
      <c r="A35" s="46" t="str">
        <f>IF(D12="нет","-",D12)</f>
        <v>-</v>
      </c>
      <c r="B35" s="59"/>
      <c r="C35" s="54"/>
      <c r="D35" s="60"/>
      <c r="E35" s="54">
        <f>IF($D$12=$A35,1,0)</f>
        <v>0</v>
      </c>
      <c r="F35" s="60"/>
      <c r="G35" s="54"/>
      <c r="H35" s="60"/>
      <c r="I35" s="56"/>
      <c r="K35" s="9"/>
    </row>
    <row r="36" spans="1:11" ht="16.5" customHeight="1" x14ac:dyDescent="0.2">
      <c r="A36" s="46" t="str">
        <f>IF(F12="нет","-",F12)</f>
        <v>-</v>
      </c>
      <c r="B36" s="59"/>
      <c r="C36" s="54"/>
      <c r="D36" s="60"/>
      <c r="E36" s="54"/>
      <c r="F36" s="60"/>
      <c r="G36" s="54">
        <f>IF($F$12=$A36,1,0)</f>
        <v>0</v>
      </c>
      <c r="H36" s="60"/>
      <c r="I36" s="56"/>
      <c r="K36" s="9"/>
    </row>
    <row r="37" spans="1:11" ht="16.5" customHeight="1" x14ac:dyDescent="0.2">
      <c r="A37" s="46" t="str">
        <f>IF(H12="нет","-",H12)</f>
        <v>-</v>
      </c>
      <c r="B37" s="59"/>
      <c r="C37" s="54"/>
      <c r="D37" s="60"/>
      <c r="E37" s="54"/>
      <c r="F37" s="60"/>
      <c r="G37" s="54"/>
      <c r="H37" s="60"/>
      <c r="I37" s="56">
        <f>IF($H$12=$A37,1,0)</f>
        <v>0</v>
      </c>
      <c r="K37" s="9"/>
    </row>
    <row r="38" spans="1:11" ht="16.5" customHeight="1" x14ac:dyDescent="0.2">
      <c r="A38" s="73" t="s">
        <v>18</v>
      </c>
      <c r="B38" s="73"/>
      <c r="C38" s="74"/>
      <c r="D38" s="75"/>
      <c r="E38" s="76"/>
      <c r="F38" s="75"/>
      <c r="G38" s="76"/>
      <c r="H38" s="75"/>
      <c r="I38" s="77"/>
      <c r="K38" s="9"/>
    </row>
    <row r="39" spans="1:11" ht="16.5" customHeight="1" x14ac:dyDescent="0.2">
      <c r="A39" s="46" t="str">
        <f>IF(B13="нет","-",B13)</f>
        <v>-</v>
      </c>
      <c r="B39" s="59"/>
      <c r="C39" s="54">
        <f>IF(B$13=$A39,1,0)</f>
        <v>0</v>
      </c>
      <c r="D39" s="60"/>
      <c r="E39" s="54"/>
      <c r="F39" s="60"/>
      <c r="G39" s="54"/>
      <c r="H39" s="60"/>
      <c r="I39" s="56"/>
      <c r="K39" s="9"/>
    </row>
    <row r="40" spans="1:11" ht="16.5" customHeight="1" x14ac:dyDescent="0.2">
      <c r="A40" s="46" t="str">
        <f>IF(D13="нет","-",D13)</f>
        <v>-</v>
      </c>
      <c r="B40" s="59"/>
      <c r="C40" s="54"/>
      <c r="D40" s="60"/>
      <c r="E40" s="54">
        <f t="shared" ref="E40" si="2">IF(D$13=$A40,1,0)</f>
        <v>0</v>
      </c>
      <c r="F40" s="60"/>
      <c r="G40" s="54"/>
      <c r="H40" s="60"/>
      <c r="I40" s="56"/>
      <c r="K40" s="9"/>
    </row>
    <row r="41" spans="1:11" ht="16.5" customHeight="1" x14ac:dyDescent="0.2">
      <c r="A41" s="46" t="str">
        <f>IF(F13="нет","-",F13)</f>
        <v>-</v>
      </c>
      <c r="B41" s="59"/>
      <c r="C41" s="54"/>
      <c r="D41" s="60"/>
      <c r="E41" s="54"/>
      <c r="F41" s="60"/>
      <c r="G41" s="54">
        <f t="shared" ref="G41" si="3">IF(F$13=$A41,1,0)</f>
        <v>0</v>
      </c>
      <c r="H41" s="60"/>
      <c r="I41" s="56"/>
      <c r="K41" s="9"/>
    </row>
    <row r="42" spans="1:11" ht="16.5" customHeight="1" x14ac:dyDescent="0.2">
      <c r="A42" s="46" t="str">
        <f>IF(H13="нет","-",H13)</f>
        <v>-</v>
      </c>
      <c r="B42" s="59"/>
      <c r="C42" s="54"/>
      <c r="D42" s="60"/>
      <c r="E42" s="54"/>
      <c r="F42" s="60"/>
      <c r="G42" s="54"/>
      <c r="H42" s="60"/>
      <c r="I42" s="56">
        <f t="shared" ref="I42" si="4">IF(H$13=$A42,1,0)</f>
        <v>0</v>
      </c>
      <c r="K42" s="9"/>
    </row>
    <row r="43" spans="1:11" ht="16.5" customHeight="1" x14ac:dyDescent="0.2">
      <c r="A43" s="73" t="s">
        <v>39</v>
      </c>
      <c r="B43" s="73"/>
      <c r="C43" s="74"/>
      <c r="D43" s="75"/>
      <c r="E43" s="76"/>
      <c r="F43" s="75"/>
      <c r="G43" s="76"/>
      <c r="H43" s="75"/>
      <c r="I43" s="77"/>
      <c r="K43" s="11"/>
    </row>
    <row r="44" spans="1:11" ht="16.5" customHeight="1" x14ac:dyDescent="0.2">
      <c r="A44" s="46" t="s">
        <v>164</v>
      </c>
      <c r="B44" s="53" t="str">
        <f>IF(C44=0,"-",VLOOKUP(B12,Данные!$A$214:$S$219,3,FALSE))</f>
        <v>-</v>
      </c>
      <c r="C44" s="54">
        <f>VLOOKUP(B12,Данные!$A$214:$S$219,2,FALSE)</f>
        <v>0</v>
      </c>
      <c r="D44" s="55" t="str">
        <f>IF(E44=0,"-",VLOOKUP(D12,Данные!$A$214:$S$219,3,FALSE))</f>
        <v>-</v>
      </c>
      <c r="E44" s="54">
        <f>VLOOKUP(D12,Данные!$A$214:$S$219,2,FALSE)</f>
        <v>0</v>
      </c>
      <c r="F44" s="55" t="str">
        <f>IF(G44=0,"-",VLOOKUP(F12,Данные!$A$214:$S$219,3,FALSE))</f>
        <v>-</v>
      </c>
      <c r="G44" s="54">
        <f>VLOOKUP(F12,Данные!$A$214:$S$219,2,FALSE)</f>
        <v>0</v>
      </c>
      <c r="H44" s="55" t="str">
        <f>IF(I44=0,"-",VLOOKUP(H12,Данные!$A$214:$S$219,3,FALSE))</f>
        <v>-</v>
      </c>
      <c r="I44" s="56">
        <f>VLOOKUP(H12,Данные!$A$214:$S$219,2,FALSE)</f>
        <v>0</v>
      </c>
      <c r="K44" s="11"/>
    </row>
    <row r="45" spans="1:11" ht="16.5" customHeight="1" x14ac:dyDescent="0.2">
      <c r="A45" s="46" t="s">
        <v>246</v>
      </c>
      <c r="B45" s="53" t="str">
        <f>IF(C45=0,"-",VLOOKUP(B12,Данные!$A$214:$S$219,5,FALSE))</f>
        <v>-</v>
      </c>
      <c r="C45" s="54">
        <f>VLOOKUP(B12,Данные!$A$214:$S$219,4,FALSE)</f>
        <v>0</v>
      </c>
      <c r="D45" s="55" t="str">
        <f>IF(E45=0,"-",VLOOKUP(D12,Данные!$A$214:$S$219,5,FALSE))</f>
        <v>-</v>
      </c>
      <c r="E45" s="54">
        <f>VLOOKUP(D12,Данные!$A$214:$S$219,4,FALSE)</f>
        <v>0</v>
      </c>
      <c r="F45" s="55" t="str">
        <f>IF(G45=0,"-",VLOOKUP(F12,Данные!$A$214:$S$219,5,FALSE))</f>
        <v>-</v>
      </c>
      <c r="G45" s="54">
        <f>VLOOKUP(F12,Данные!$A$214:$S$219,4,FALSE)</f>
        <v>0</v>
      </c>
      <c r="H45" s="55" t="str">
        <f>IF(I45=0,"-",VLOOKUP(H12,Данные!$A$214:$S$219,5,FALSE))</f>
        <v>-</v>
      </c>
      <c r="I45" s="56">
        <f>VLOOKUP(H12,Данные!$A$214:$S$219,4,FALSE)</f>
        <v>0</v>
      </c>
      <c r="K45" s="11"/>
    </row>
    <row r="46" spans="1:11" ht="16.5" customHeight="1" x14ac:dyDescent="0.2">
      <c r="A46" s="46" t="s">
        <v>184</v>
      </c>
      <c r="B46" s="53">
        <f>VLOOKUP(B12,Данные!$A$214:$S$219,7,FALSE)</f>
        <v>0</v>
      </c>
      <c r="C46" s="54">
        <f>VLOOKUP(B12,Данные!$A$214:$S$219,6,FALSE)</f>
        <v>0</v>
      </c>
      <c r="D46" s="55">
        <f>VLOOKUP(D12,Данные!$A$214:$S$219,7,FALSE)</f>
        <v>0</v>
      </c>
      <c r="E46" s="54">
        <f>VLOOKUP(D12,Данные!$A$214:$S$219,6,FALSE)</f>
        <v>0</v>
      </c>
      <c r="F46" s="55">
        <f>VLOOKUP(F12,Данные!$A$214:$S$219,7,FALSE)</f>
        <v>0</v>
      </c>
      <c r="G46" s="54">
        <f>VLOOKUP(F12,Данные!$A$214:$S$219,6,FALSE)</f>
        <v>0</v>
      </c>
      <c r="H46" s="55">
        <f>VLOOKUP(H12,Данные!$A$214:$S$219,7,FALSE)</f>
        <v>0</v>
      </c>
      <c r="I46" s="56">
        <f>VLOOKUP(H12,Данные!$A$214:$S$219,6,FALSE)</f>
        <v>0</v>
      </c>
      <c r="K46" s="11"/>
    </row>
    <row r="47" spans="1:11" ht="16.5" customHeight="1" x14ac:dyDescent="0.2">
      <c r="A47" s="46" t="s">
        <v>198</v>
      </c>
      <c r="B47" s="53">
        <f>VLOOKUP(B12,Данные!$A$214:$S$219,9,FALSE)</f>
        <v>0</v>
      </c>
      <c r="C47" s="54">
        <f>VLOOKUP(B12,Данные!$A$214:$S$219,8,FALSE)</f>
        <v>0</v>
      </c>
      <c r="D47" s="55">
        <f>VLOOKUP(D12,Данные!$A$214:$S$219,9,FALSE)</f>
        <v>0</v>
      </c>
      <c r="E47" s="54">
        <f>VLOOKUP(D12,Данные!$A$214:$S$219,8,FALSE)</f>
        <v>0</v>
      </c>
      <c r="F47" s="55">
        <f>VLOOKUP(F12,Данные!$A$214:$S$219,9,FALSE)</f>
        <v>0</v>
      </c>
      <c r="G47" s="54">
        <f>VLOOKUP(F12,Данные!$A$214:$S$219,8,FALSE)</f>
        <v>0</v>
      </c>
      <c r="H47" s="55">
        <f>VLOOKUP(H12,Данные!$A$214:$S$219,9,FALSE)</f>
        <v>0</v>
      </c>
      <c r="I47" s="56">
        <f>VLOOKUP(H12,Данные!$A$214:$S$219,8,FALSE)</f>
        <v>0</v>
      </c>
      <c r="K47" s="11"/>
    </row>
    <row r="48" spans="1:11" ht="16.5" customHeight="1" x14ac:dyDescent="0.2">
      <c r="A48" s="46" t="s">
        <v>197</v>
      </c>
      <c r="B48" s="53">
        <f>VLOOKUP(B12,Данные!$A$214:$S$219,11,FALSE)</f>
        <v>0</v>
      </c>
      <c r="C48" s="54">
        <f>VLOOKUP(B12,Данные!$A$214:$S$219,10,FALSE)</f>
        <v>0</v>
      </c>
      <c r="D48" s="55">
        <f>VLOOKUP(D12,Данные!$A$214:$S$219,11,FALSE)</f>
        <v>0</v>
      </c>
      <c r="E48" s="54">
        <f>VLOOKUP(D12,Данные!$A$214:$S$219,10,FALSE)</f>
        <v>0</v>
      </c>
      <c r="F48" s="55">
        <f>VLOOKUP(F12,Данные!$A$214:$S$219,11,FALSE)</f>
        <v>0</v>
      </c>
      <c r="G48" s="54">
        <f>VLOOKUP(F12,Данные!$A$214:$S$219,10,FALSE)</f>
        <v>0</v>
      </c>
      <c r="H48" s="55">
        <f>VLOOKUP(H12,Данные!$A$214:$S$219,11,FALSE)</f>
        <v>0</v>
      </c>
      <c r="I48" s="56">
        <f>VLOOKUP(H12,Данные!$A$214:$S$219,10,FALSE)</f>
        <v>0</v>
      </c>
      <c r="K48" s="11"/>
    </row>
    <row r="49" spans="1:30" ht="16.5" customHeight="1" x14ac:dyDescent="0.2">
      <c r="A49" s="46" t="s">
        <v>168</v>
      </c>
      <c r="B49" s="53">
        <f>VLOOKUP(B12,Данные!$A$214:$S$219,13,FALSE)</f>
        <v>0</v>
      </c>
      <c r="C49" s="54">
        <f>VLOOKUP(B12,Данные!$A$214:$S$219,12,FALSE)</f>
        <v>0</v>
      </c>
      <c r="D49" s="55">
        <f>VLOOKUP(D12,Данные!$A$214:$S$219,13,FALSE)</f>
        <v>0</v>
      </c>
      <c r="E49" s="54">
        <f>VLOOKUP(D12,Данные!$A$214:$S$219,12,FALSE)</f>
        <v>0</v>
      </c>
      <c r="F49" s="55">
        <f>VLOOKUP(F12,Данные!$A$214:$S$219,13,FALSE)</f>
        <v>0</v>
      </c>
      <c r="G49" s="54">
        <f>VLOOKUP(F12,Данные!$A$214:$S$219,12,FALSE)</f>
        <v>0</v>
      </c>
      <c r="H49" s="55">
        <f>VLOOKUP(H12,Данные!$A$214:$S$219,13,FALSE)</f>
        <v>0</v>
      </c>
      <c r="I49" s="56">
        <f>VLOOKUP(H12,Данные!$A$214:$S$219,12,FALSE)</f>
        <v>0</v>
      </c>
      <c r="K49" s="11"/>
    </row>
    <row r="50" spans="1:30" ht="16.5" customHeight="1" x14ac:dyDescent="0.2">
      <c r="A50" s="46" t="s">
        <v>169</v>
      </c>
      <c r="B50" s="53">
        <f>VLOOKUP(B12,Данные!$A$214:$S$219,15,FALSE)</f>
        <v>0</v>
      </c>
      <c r="C50" s="54">
        <f>VLOOKUP(B12,Данные!$A$214:$S$219,14,FALSE)</f>
        <v>0</v>
      </c>
      <c r="D50" s="55">
        <f>VLOOKUP(D12,Данные!$A$214:$S$219,15,FALSE)</f>
        <v>0</v>
      </c>
      <c r="E50" s="54">
        <f>VLOOKUP(D12,Данные!$A$214:$S$219,14,FALSE)</f>
        <v>0</v>
      </c>
      <c r="F50" s="55">
        <f>VLOOKUP(F12,Данные!$A$214:$S$219,15,FALSE)</f>
        <v>0</v>
      </c>
      <c r="G50" s="54">
        <f>VLOOKUP(F12,Данные!$A$214:$S$219,14,FALSE)</f>
        <v>0</v>
      </c>
      <c r="H50" s="55">
        <f>VLOOKUP(H12,Данные!$A$214:$S$219,15,FALSE)</f>
        <v>0</v>
      </c>
      <c r="I50" s="56">
        <f>VLOOKUP(H12,Данные!$A$214:$S$219,14,FALSE)</f>
        <v>0</v>
      </c>
      <c r="K50" s="11"/>
    </row>
    <row r="51" spans="1:30" ht="16.5" customHeight="1" x14ac:dyDescent="0.2">
      <c r="A51" s="46" t="s">
        <v>46</v>
      </c>
      <c r="B51" s="53" t="s">
        <v>10</v>
      </c>
      <c r="C51" s="54">
        <f>VLOOKUP(B12,Данные!$A$214:$S$219,17,FALSE)</f>
        <v>0</v>
      </c>
      <c r="D51" s="55" t="s">
        <v>10</v>
      </c>
      <c r="E51" s="54">
        <f>VLOOKUP(D12,Данные!$A$214:$S$219,17,FALSE)</f>
        <v>0</v>
      </c>
      <c r="F51" s="55" t="s">
        <v>10</v>
      </c>
      <c r="G51" s="54">
        <f>VLOOKUP(F12,Данные!$A$214:$S$219,17,FALSE)</f>
        <v>0</v>
      </c>
      <c r="H51" s="55" t="s">
        <v>10</v>
      </c>
      <c r="I51" s="56">
        <f>VLOOKUP(H12,Данные!$A$214:$S$219,17,FALSE)</f>
        <v>0</v>
      </c>
      <c r="K51" s="11"/>
    </row>
    <row r="52" spans="1:30" ht="16.5" customHeight="1" x14ac:dyDescent="0.2">
      <c r="A52" s="46" t="s">
        <v>48</v>
      </c>
      <c r="B52" s="53" t="s">
        <v>10</v>
      </c>
      <c r="C52" s="54">
        <f>VLOOKUP(B12,Данные!$A$214:$S$219,18,FALSE)</f>
        <v>0</v>
      </c>
      <c r="D52" s="55" t="s">
        <v>10</v>
      </c>
      <c r="E52" s="54">
        <f>VLOOKUP(D12,Данные!$A$214:$S$219,18,FALSE)</f>
        <v>0</v>
      </c>
      <c r="F52" s="55" t="s">
        <v>10</v>
      </c>
      <c r="G52" s="54">
        <f>VLOOKUP(F12,Данные!$A$214:$S$219,18,FALSE)</f>
        <v>0</v>
      </c>
      <c r="H52" s="55" t="s">
        <v>10</v>
      </c>
      <c r="I52" s="56">
        <f>VLOOKUP(H12,Данные!$A$214:$S$219,18,FALSE)</f>
        <v>0</v>
      </c>
      <c r="K52" s="11"/>
    </row>
    <row r="53" spans="1:30" ht="16.5" customHeight="1" x14ac:dyDescent="0.2">
      <c r="A53" s="46" t="s">
        <v>199</v>
      </c>
      <c r="B53" s="53" t="s">
        <v>10</v>
      </c>
      <c r="C53" s="54">
        <f>VLOOKUP(B12,Данные!$A$214:$S$219,19,FALSE)</f>
        <v>0</v>
      </c>
      <c r="D53" s="55" t="s">
        <v>10</v>
      </c>
      <c r="E53" s="54">
        <f>VLOOKUP(D12,Данные!$A$214:$S$219,19,FALSE)</f>
        <v>0</v>
      </c>
      <c r="F53" s="55" t="s">
        <v>10</v>
      </c>
      <c r="G53" s="54">
        <f>VLOOKUP(F12,Данные!$A$214:$S$219,19,FALSE)</f>
        <v>0</v>
      </c>
      <c r="H53" s="55" t="s">
        <v>10</v>
      </c>
      <c r="I53" s="56">
        <f>VLOOKUP(H12,Данные!$A$214:$S$219,19,FALSE)</f>
        <v>0</v>
      </c>
      <c r="K53" s="11"/>
    </row>
    <row r="54" spans="1:30" ht="16.5" customHeight="1" x14ac:dyDescent="0.2">
      <c r="A54" s="46" t="s">
        <v>12</v>
      </c>
      <c r="B54" s="57" t="s">
        <v>179</v>
      </c>
      <c r="C54" s="54">
        <f>VLOOKUP(B12,Данные!$A$214:$S$219,16,FALSE)</f>
        <v>0</v>
      </c>
      <c r="D54" s="57" t="s">
        <v>179</v>
      </c>
      <c r="E54" s="54">
        <f>VLOOKUP(D12,Данные!$A$214:$S$219,16,FALSE)</f>
        <v>0</v>
      </c>
      <c r="F54" s="57" t="s">
        <v>179</v>
      </c>
      <c r="G54" s="54">
        <f>VLOOKUP(F12,Данные!$A$214:$S$219,16,FALSE)</f>
        <v>0</v>
      </c>
      <c r="H54" s="57" t="s">
        <v>179</v>
      </c>
      <c r="I54" s="56">
        <f>VLOOKUP(H12,Данные!$A$214:$S$219,16,FALSE)</f>
        <v>0</v>
      </c>
      <c r="K54" s="11"/>
    </row>
    <row r="55" spans="1:30" ht="18.75" customHeight="1" x14ac:dyDescent="0.2">
      <c r="A55" s="73" t="s">
        <v>49</v>
      </c>
      <c r="B55" s="73"/>
      <c r="C55" s="74"/>
      <c r="D55" s="75"/>
      <c r="E55" s="76"/>
      <c r="F55" s="75"/>
      <c r="G55" s="76"/>
      <c r="H55" s="75"/>
      <c r="I55" s="77"/>
      <c r="K55" s="11"/>
    </row>
    <row r="56" spans="1:30" ht="16.5" customHeight="1" x14ac:dyDescent="0.2">
      <c r="A56" s="46" t="s">
        <v>297</v>
      </c>
      <c r="B56" s="53" t="str">
        <f>IF(C56=0,"-",VLOOKUP(B13,Данные!$A$221:$S$243,3,FALSE))</f>
        <v>-</v>
      </c>
      <c r="C56" s="54">
        <f>VLOOKUP(B13,Данные!$A$221:$S$243,2,FALSE)</f>
        <v>0</v>
      </c>
      <c r="D56" s="53" t="str">
        <f>IF(E56=0,"-",VLOOKUP(D13,Данные!$A$221:$S$243,3,FALSE))</f>
        <v>-</v>
      </c>
      <c r="E56" s="54">
        <f>VLOOKUP(D13,Данные!$A$221:$S$243,2,FALSE)</f>
        <v>0</v>
      </c>
      <c r="F56" s="53" t="str">
        <f>IF(G56=0,"-",VLOOKUP(F13,Данные!$A$221:$S$243,3,FALSE))</f>
        <v>-</v>
      </c>
      <c r="G56" s="54">
        <f>VLOOKUP(F13,Данные!$A$221:$S$243,2,FALSE)</f>
        <v>0</v>
      </c>
      <c r="H56" s="53" t="str">
        <f>IF(I56=0,"-",VLOOKUP(H13,Данные!$A$221:$S$243,3,FALSE))</f>
        <v>-</v>
      </c>
      <c r="I56" s="56">
        <f>VLOOKUP(H13,Данные!$A$221:$S$243,2,FALSE)</f>
        <v>0</v>
      </c>
      <c r="K56" s="11"/>
    </row>
    <row r="57" spans="1:30" ht="16.5" customHeight="1" x14ac:dyDescent="0.2">
      <c r="A57" s="46" t="s">
        <v>296</v>
      </c>
      <c r="B57" s="53" t="str">
        <f>IF(C57=0,"-",VLOOKUP(B13,Данные!$A$221:$AA$243,21,FALSE))</f>
        <v>-</v>
      </c>
      <c r="C57" s="54">
        <f>VLOOKUP(B13,Данные!$A$221:$AA$243,20,FALSE)</f>
        <v>0</v>
      </c>
      <c r="D57" s="53" t="str">
        <f>IF(E57=0,"-",VLOOKUP(D13,Данные!$A$221:$AA$243,21,FALSE))</f>
        <v>-</v>
      </c>
      <c r="E57" s="54">
        <f>VLOOKUP(D13,Данные!$A$221:$AA$243,20,FALSE)</f>
        <v>0</v>
      </c>
      <c r="F57" s="53" t="str">
        <f>IF(G57=0,"-",VLOOKUP(F13,Данные!$A$221:$AA$243,21,FALSE))</f>
        <v>-</v>
      </c>
      <c r="G57" s="54">
        <f>VLOOKUP(F13,Данные!$A$221:$AA$243,20,FALSE)</f>
        <v>0</v>
      </c>
      <c r="H57" s="53" t="str">
        <f>IF(I57=0,"-",VLOOKUP(H13,Данные!$A$221:$AA$243,21,FALSE))</f>
        <v>-</v>
      </c>
      <c r="I57" s="56">
        <f>VLOOKUP(H13,Данные!$A$221:$AA$243,20,FALSE)</f>
        <v>0</v>
      </c>
      <c r="K57" s="113"/>
    </row>
    <row r="58" spans="1:30" ht="16.5" customHeight="1" x14ac:dyDescent="0.2">
      <c r="A58" s="46" t="s">
        <v>261</v>
      </c>
      <c r="B58" s="53" t="str">
        <f>IF(C58=0,"-",VLOOKUP(B13,Данные!$A$221:$S$243,5,FALSE))</f>
        <v>-</v>
      </c>
      <c r="C58" s="54">
        <f>VLOOKUP(B13,Данные!$A$221:$S$243,4,FALSE)</f>
        <v>0</v>
      </c>
      <c r="D58" s="53" t="str">
        <f>IF(E58=0,"-",VLOOKUP(D13,Данные!$A$221:$S$243,5,FALSE))</f>
        <v>-</v>
      </c>
      <c r="E58" s="54">
        <f>VLOOKUP(D13,Данные!$A$221:$S$243,4,FALSE)</f>
        <v>0</v>
      </c>
      <c r="F58" s="53" t="str">
        <f>IF(G58=0,"-",VLOOKUP(F13,Данные!$A$221:$S$243,5,FALSE))</f>
        <v>-</v>
      </c>
      <c r="G58" s="54">
        <f>VLOOKUP(F13,Данные!$A$221:$S$243,4,FALSE)</f>
        <v>0</v>
      </c>
      <c r="H58" s="53" t="str">
        <f>IF(I58=0,"-",VLOOKUP(H13,Данные!$A$221:$S$243,5,FALSE))</f>
        <v>-</v>
      </c>
      <c r="I58" s="56">
        <f>VLOOKUP(H13,Данные!$A$221:$S$243,4,FALSE)</f>
        <v>0</v>
      </c>
      <c r="K58" s="11"/>
    </row>
    <row r="59" spans="1:30" ht="16.5" customHeight="1" x14ac:dyDescent="0.2">
      <c r="A59" s="46" t="s">
        <v>253</v>
      </c>
      <c r="B59" s="53" t="str">
        <f>IF(C59=0,"-",VLOOKUP(B13,Данные!$A$221:$AA$243,23,FALSE))</f>
        <v>-</v>
      </c>
      <c r="C59" s="54">
        <f>VLOOKUP(B13,Данные!$A$221:$AA$243,22,FALSE)</f>
        <v>0</v>
      </c>
      <c r="D59" s="53" t="str">
        <f>IF(E59=0,"-",VLOOKUP(D13,Данные!$A$221:$AA$243,23,FALSE))</f>
        <v>-</v>
      </c>
      <c r="E59" s="54">
        <f>VLOOKUP(D13,Данные!$A$221:$AA$243,22,FALSE)</f>
        <v>0</v>
      </c>
      <c r="F59" s="53" t="str">
        <f>IF(G59=0,"-",VLOOKUP(F13,Данные!$A$221:$AA$243,23,FALSE))</f>
        <v>-</v>
      </c>
      <c r="G59" s="54">
        <f>VLOOKUP(F13,Данные!$A$221:$AA$243,22,FALSE)</f>
        <v>0</v>
      </c>
      <c r="H59" s="53" t="str">
        <f>IF(I59=0,"-",VLOOKUP(H13,Данные!$A$221:$AA$243,23,FALSE))</f>
        <v>-</v>
      </c>
      <c r="I59" s="56">
        <f>VLOOKUP(H13,Данные!$A$221:$AA$243,22,FALSE)</f>
        <v>0</v>
      </c>
      <c r="K59" s="113"/>
    </row>
    <row r="60" spans="1:30" ht="16.5" customHeight="1" x14ac:dyDescent="0.2">
      <c r="A60" s="46" t="s">
        <v>184</v>
      </c>
      <c r="B60" s="53">
        <f>VLOOKUP(B13,Данные!$A$221:$S$243,7,FALSE)</f>
        <v>0</v>
      </c>
      <c r="C60" s="54">
        <f>VLOOKUP(B13,Данные!$A$221:$S$243,6,FALSE)</f>
        <v>0</v>
      </c>
      <c r="D60" s="53">
        <f>VLOOKUP(D13,Данные!$A$221:$S$243,7,FALSE)</f>
        <v>0</v>
      </c>
      <c r="E60" s="54">
        <f>VLOOKUP(D13,Данные!$A$221:$S$243,6,FALSE)</f>
        <v>0</v>
      </c>
      <c r="F60" s="53">
        <f>VLOOKUP(F13,Данные!$A$221:$S$243,7,FALSE)</f>
        <v>0</v>
      </c>
      <c r="G60" s="54">
        <f>VLOOKUP(F13,Данные!$A$221:$S$243,6,FALSE)</f>
        <v>0</v>
      </c>
      <c r="H60" s="53">
        <f>VLOOKUP(H13,Данные!$A$221:$S$243,7,FALSE)</f>
        <v>0</v>
      </c>
      <c r="I60" s="56">
        <f>VLOOKUP(H13,Данные!$A$221:$S$243,6,FALSE)</f>
        <v>0</v>
      </c>
      <c r="K60" s="11"/>
      <c r="R60" s="12"/>
      <c r="S60" s="6"/>
      <c r="T60" s="6"/>
      <c r="U60" s="6"/>
      <c r="V60" s="6"/>
      <c r="W60" s="6"/>
      <c r="X60" s="6"/>
      <c r="Y60" s="6"/>
      <c r="Z60" s="13"/>
      <c r="AA60" s="11"/>
      <c r="AB60" s="14"/>
      <c r="AC60" s="14"/>
      <c r="AD60" s="14"/>
    </row>
    <row r="61" spans="1:30" ht="16.5" customHeight="1" x14ac:dyDescent="0.2">
      <c r="A61" s="46" t="s">
        <v>295</v>
      </c>
      <c r="B61" s="53">
        <f>VLOOKUP(B13,Данные!$A$221:$S$243,9,FALSE)</f>
        <v>0</v>
      </c>
      <c r="C61" s="54">
        <f>VLOOKUP(B13,Данные!$A$221:$S$243,8,FALSE)</f>
        <v>0</v>
      </c>
      <c r="D61" s="53">
        <f>VLOOKUP(D13,Данные!$A$221:$S$243,9,FALSE)</f>
        <v>0</v>
      </c>
      <c r="E61" s="54">
        <f>VLOOKUP(D13,Данные!$A$221:$S$243,8,FALSE)</f>
        <v>0</v>
      </c>
      <c r="F61" s="53">
        <f>VLOOKUP(F13,Данные!$A$221:$S$243,9,FALSE)</f>
        <v>0</v>
      </c>
      <c r="G61" s="54">
        <f>VLOOKUP(F13,Данные!$A$221:$S$243,8,FALSE)</f>
        <v>0</v>
      </c>
      <c r="H61" s="53">
        <f>VLOOKUP(H13,Данные!$A$221:$S$243,9,FALSE)</f>
        <v>0</v>
      </c>
      <c r="I61" s="56">
        <f>VLOOKUP(H13,Данные!$A$221:$S$243,8,FALSE)</f>
        <v>0</v>
      </c>
      <c r="K61" s="11"/>
      <c r="R61" s="12"/>
      <c r="S61" s="6"/>
      <c r="T61" s="6"/>
      <c r="U61" s="6"/>
      <c r="V61" s="6"/>
      <c r="W61" s="6"/>
      <c r="X61" s="6"/>
      <c r="Y61" s="6"/>
      <c r="Z61" s="13"/>
      <c r="AA61" s="11"/>
      <c r="AB61" s="14"/>
      <c r="AC61" s="14"/>
      <c r="AD61" s="14"/>
    </row>
    <row r="62" spans="1:30" ht="16.5" customHeight="1" x14ac:dyDescent="0.2">
      <c r="A62" s="46" t="s">
        <v>258</v>
      </c>
      <c r="B62" s="53" t="str">
        <f>IF(C62=0,"-",VLOOKUP(B13,Данные!$A$221:$AA$243,25,FALSE))</f>
        <v>-</v>
      </c>
      <c r="C62" s="54">
        <f>VLOOKUP(B13,Данные!$A$221:$AA$243,24,FALSE)</f>
        <v>0</v>
      </c>
      <c r="D62" s="53" t="str">
        <f>IF(E62=0,"-",VLOOKUP(D13,Данные!$A$221:$AA$243,25,FALSE))</f>
        <v>-</v>
      </c>
      <c r="E62" s="54">
        <f>VLOOKUP(D13,Данные!$A$221:$AA$243,24,FALSE)</f>
        <v>0</v>
      </c>
      <c r="F62" s="53" t="str">
        <f>IF(G62=0,"-",VLOOKUP(F13,Данные!$A$221:$AA$243,25,FALSE))</f>
        <v>-</v>
      </c>
      <c r="G62" s="54">
        <f>VLOOKUP(F13,Данные!$A$221:$AA$243,24,FALSE)</f>
        <v>0</v>
      </c>
      <c r="H62" s="53" t="str">
        <f>IF(I62=0,"-",VLOOKUP(H13,Данные!$A$221:$AA$243,25,FALSE))</f>
        <v>-</v>
      </c>
      <c r="I62" s="56">
        <f>VLOOKUP(H13,Данные!$A$221:$AA$243,24,FALSE)</f>
        <v>0</v>
      </c>
      <c r="K62" s="113"/>
      <c r="R62" s="12"/>
      <c r="S62" s="6"/>
      <c r="T62" s="6"/>
      <c r="U62" s="6"/>
      <c r="V62" s="6"/>
      <c r="W62" s="6"/>
      <c r="X62" s="6"/>
      <c r="Y62" s="6"/>
      <c r="Z62" s="13"/>
      <c r="AA62" s="113"/>
      <c r="AB62" s="14"/>
      <c r="AC62" s="14"/>
      <c r="AD62" s="14"/>
    </row>
    <row r="63" spans="1:30" ht="16.5" customHeight="1" x14ac:dyDescent="0.2">
      <c r="A63" s="46" t="s">
        <v>257</v>
      </c>
      <c r="B63" s="53">
        <f>VLOOKUP(B13,Данные!$A$221:$S$243,11,FALSE)</f>
        <v>0</v>
      </c>
      <c r="C63" s="54">
        <f>VLOOKUP(B13,Данные!$A$221:$S$243,10,FALSE)</f>
        <v>0</v>
      </c>
      <c r="D63" s="53">
        <f>VLOOKUP(D13,Данные!$A$221:$S$243,11,FALSE)</f>
        <v>0</v>
      </c>
      <c r="E63" s="54">
        <f>VLOOKUP(D13,Данные!$A$221:$S$243,10,FALSE)</f>
        <v>0</v>
      </c>
      <c r="F63" s="53">
        <f>VLOOKUP(F13,Данные!$A$221:$S$243,11,FALSE)</f>
        <v>0</v>
      </c>
      <c r="G63" s="54">
        <f>VLOOKUP(F13,Данные!$A$221:$S$243,10,FALSE)</f>
        <v>0</v>
      </c>
      <c r="H63" s="53">
        <f>VLOOKUP(H13,Данные!$A$221:$S$243,11,FALSE)</f>
        <v>0</v>
      </c>
      <c r="I63" s="56">
        <f>VLOOKUP(H13,Данные!$A$221:$S$243,10,FALSE)</f>
        <v>0</v>
      </c>
      <c r="K63" s="11"/>
      <c r="R63" s="12"/>
      <c r="S63" s="6"/>
      <c r="T63" s="6"/>
      <c r="U63" s="6"/>
      <c r="V63" s="6"/>
      <c r="W63" s="6"/>
      <c r="X63" s="6"/>
      <c r="Y63" s="6"/>
      <c r="Z63" s="13"/>
      <c r="AA63" s="11"/>
      <c r="AB63" s="14"/>
      <c r="AC63" s="14"/>
      <c r="AD63" s="14"/>
    </row>
    <row r="64" spans="1:30" ht="16.5" customHeight="1" x14ac:dyDescent="0.2">
      <c r="A64" s="46" t="s">
        <v>260</v>
      </c>
      <c r="B64" s="53" t="str">
        <f>IF(C64=0,"-",VLOOKUP(B13,Данные!$A$221:$AA$243,27,FALSE))</f>
        <v>-</v>
      </c>
      <c r="C64" s="54">
        <f>VLOOKUP(B13,Данные!$A$221:$AA$243,26,FALSE)</f>
        <v>0</v>
      </c>
      <c r="D64" s="53" t="str">
        <f>IF(E64=0,"-",VLOOKUP(D13,Данные!$A$221:$AA$243,27,FALSE))</f>
        <v>-</v>
      </c>
      <c r="E64" s="54">
        <f>VLOOKUP(D13,Данные!$A$221:$AA$243,26,FALSE)</f>
        <v>0</v>
      </c>
      <c r="F64" s="53" t="str">
        <f>IF(G64=0,"-",VLOOKUP(F13,Данные!$A$221:$AA$243,27,FALSE))</f>
        <v>-</v>
      </c>
      <c r="G64" s="54">
        <f>VLOOKUP(F13,Данные!$A$221:$AA$243,26,FALSE)</f>
        <v>0</v>
      </c>
      <c r="H64" s="53" t="str">
        <f>IF(I64=0,"-",VLOOKUP(H13,Данные!$A$221:$AA$243,27,FALSE))</f>
        <v>-</v>
      </c>
      <c r="I64" s="56">
        <f>VLOOKUP(H13,Данные!$A$221:$AA$243,26,FALSE)</f>
        <v>0</v>
      </c>
      <c r="K64" s="113"/>
      <c r="R64" s="12"/>
      <c r="S64" s="6"/>
      <c r="T64" s="6"/>
      <c r="U64" s="6"/>
      <c r="V64" s="6"/>
      <c r="W64" s="6"/>
      <c r="X64" s="6"/>
      <c r="Y64" s="6"/>
      <c r="Z64" s="13"/>
      <c r="AA64" s="113"/>
      <c r="AB64" s="14"/>
      <c r="AC64" s="14"/>
      <c r="AD64" s="14"/>
    </row>
    <row r="65" spans="1:33" ht="16.5" customHeight="1" x14ac:dyDescent="0.2">
      <c r="A65" s="46" t="s">
        <v>168</v>
      </c>
      <c r="B65" s="53">
        <f>VLOOKUP(B13,Данные!$A$221:$S$243,13,FALSE)</f>
        <v>0</v>
      </c>
      <c r="C65" s="54">
        <f>VLOOKUP(B13,Данные!$A$221:$S$243,12,FALSE)</f>
        <v>0</v>
      </c>
      <c r="D65" s="53">
        <f>VLOOKUP(D13,Данные!$A$221:$S$243,13,FALSE)</f>
        <v>0</v>
      </c>
      <c r="E65" s="54">
        <f>VLOOKUP(D13,Данные!$A$221:$S$243,12,FALSE)</f>
        <v>0</v>
      </c>
      <c r="F65" s="53">
        <f>VLOOKUP(F13,Данные!$A$221:$S$243,13,FALSE)</f>
        <v>0</v>
      </c>
      <c r="G65" s="54">
        <f>VLOOKUP(F13,Данные!$A$221:$S$243,12,FALSE)</f>
        <v>0</v>
      </c>
      <c r="H65" s="53">
        <f>VLOOKUP(H13,Данные!$A$221:$S$243,13,FALSE)</f>
        <v>0</v>
      </c>
      <c r="I65" s="56">
        <f>VLOOKUP(H13,Данные!$A$221:$S$243,12,FALSE)</f>
        <v>0</v>
      </c>
      <c r="K65" s="11"/>
      <c r="R65" s="12"/>
      <c r="S65" s="6"/>
      <c r="T65" s="6"/>
      <c r="U65" s="6"/>
      <c r="V65" s="6"/>
      <c r="W65" s="6"/>
      <c r="X65" s="6"/>
      <c r="Y65" s="6"/>
      <c r="Z65" s="14"/>
      <c r="AA65" s="14"/>
      <c r="AB65" s="15"/>
      <c r="AC65" s="14"/>
      <c r="AD65" s="11"/>
      <c r="AE65" s="14"/>
      <c r="AF65" s="14"/>
      <c r="AG65" s="14"/>
    </row>
    <row r="66" spans="1:33" ht="16.5" customHeight="1" x14ac:dyDescent="0.2">
      <c r="A66" s="6" t="s">
        <v>169</v>
      </c>
      <c r="B66" s="53">
        <f>VLOOKUP(B13,Данные!$A$221:$S$243,15,FALSE)</f>
        <v>0</v>
      </c>
      <c r="C66" s="54">
        <f>VLOOKUP(B13,Данные!$A$221:$S$243,14,FALSE)</f>
        <v>0</v>
      </c>
      <c r="D66" s="53">
        <f>VLOOKUP(D13,Данные!$A$221:$S$243,15,FALSE)</f>
        <v>0</v>
      </c>
      <c r="E66" s="54">
        <f>VLOOKUP(D13,Данные!$A$221:$S$243,14,FALSE)</f>
        <v>0</v>
      </c>
      <c r="F66" s="53">
        <f>VLOOKUP(F13,Данные!$A$221:$S$243,15,FALSE)</f>
        <v>0</v>
      </c>
      <c r="G66" s="54">
        <f>VLOOKUP(F13,Данные!$A$221:$S$243,14,FALSE)</f>
        <v>0</v>
      </c>
      <c r="H66" s="53">
        <f>VLOOKUP(H13,Данные!$A$221:$S$243,15,FALSE)</f>
        <v>0</v>
      </c>
      <c r="I66" s="56">
        <f>VLOOKUP(H13,Данные!$A$221:$S$243,14,FALSE)</f>
        <v>0</v>
      </c>
      <c r="K66" s="11"/>
      <c r="R66" s="12"/>
      <c r="S66" s="6"/>
      <c r="T66" s="6"/>
      <c r="U66" s="6"/>
      <c r="V66" s="6"/>
      <c r="W66" s="6"/>
      <c r="X66" s="6"/>
      <c r="Y66" s="6"/>
      <c r="Z66" s="16"/>
      <c r="AA66" s="14"/>
      <c r="AB66" s="15"/>
      <c r="AC66" s="14"/>
      <c r="AD66" s="11"/>
      <c r="AE66" s="14"/>
      <c r="AF66" s="14"/>
      <c r="AG66" s="14"/>
    </row>
    <row r="67" spans="1:33" ht="16.5" customHeight="1" x14ac:dyDescent="0.2">
      <c r="A67" s="109" t="s">
        <v>46</v>
      </c>
      <c r="B67" s="53" t="s">
        <v>10</v>
      </c>
      <c r="C67" s="54">
        <f>VLOOKUP(B13,Данные!$A$221:$S$243,17,FALSE)</f>
        <v>0</v>
      </c>
      <c r="D67" s="53" t="s">
        <v>10</v>
      </c>
      <c r="E67" s="54">
        <f>VLOOKUP(D13,Данные!$A$221:$S$243,17,FALSE)</f>
        <v>0</v>
      </c>
      <c r="F67" s="53" t="s">
        <v>10</v>
      </c>
      <c r="G67" s="54">
        <f>VLOOKUP(F13,Данные!$A$221:$S$243,17,FALSE)</f>
        <v>0</v>
      </c>
      <c r="H67" s="53" t="s">
        <v>10</v>
      </c>
      <c r="I67" s="56">
        <f>VLOOKUP(H13,Данные!$A$221:$S$243,17,FALSE)</f>
        <v>0</v>
      </c>
      <c r="J67" s="97"/>
      <c r="K67" s="11"/>
      <c r="R67" s="12"/>
      <c r="S67" s="6"/>
      <c r="T67" s="6"/>
      <c r="U67" s="6"/>
      <c r="V67" s="6"/>
      <c r="W67" s="6"/>
      <c r="X67" s="6"/>
      <c r="Y67" s="6"/>
      <c r="Z67" s="16"/>
      <c r="AA67" s="14"/>
      <c r="AB67" s="15"/>
      <c r="AC67" s="14"/>
      <c r="AD67" s="11"/>
      <c r="AE67" s="14"/>
      <c r="AF67" s="14"/>
      <c r="AG67" s="14"/>
    </row>
    <row r="68" spans="1:33" ht="16.5" customHeight="1" x14ac:dyDescent="0.2">
      <c r="A68" s="109" t="s">
        <v>48</v>
      </c>
      <c r="B68" s="53" t="s">
        <v>10</v>
      </c>
      <c r="C68" s="54">
        <f>VLOOKUP(B13,Данные!$A$221:$S$243,18,FALSE)</f>
        <v>0</v>
      </c>
      <c r="D68" s="53" t="s">
        <v>10</v>
      </c>
      <c r="E68" s="54">
        <f>VLOOKUP(D13,Данные!$A$221:$S$243,18,FALSE)</f>
        <v>0</v>
      </c>
      <c r="F68" s="53" t="s">
        <v>10</v>
      </c>
      <c r="G68" s="54">
        <f>VLOOKUP(F13,Данные!$A$221:$S$243,18,FALSE)</f>
        <v>0</v>
      </c>
      <c r="H68" s="53" t="s">
        <v>10</v>
      </c>
      <c r="I68" s="56">
        <f>VLOOKUP(H13,Данные!$A$221:$S$243,18,FALSE)</f>
        <v>0</v>
      </c>
      <c r="K68" s="11"/>
      <c r="R68" s="12"/>
      <c r="S68" s="6"/>
      <c r="T68" s="6"/>
      <c r="U68" s="6"/>
      <c r="V68" s="6"/>
      <c r="W68" s="6"/>
      <c r="X68" s="6"/>
      <c r="Y68" s="6"/>
      <c r="Z68" s="16"/>
      <c r="AA68" s="14"/>
      <c r="AB68" s="15"/>
      <c r="AC68" s="14"/>
      <c r="AD68" s="11"/>
      <c r="AE68" s="14"/>
      <c r="AF68" s="14"/>
      <c r="AG68" s="14"/>
    </row>
    <row r="69" spans="1:33" ht="16.5" customHeight="1" x14ac:dyDescent="0.2">
      <c r="A69" s="109" t="s">
        <v>199</v>
      </c>
      <c r="B69" s="53" t="s">
        <v>10</v>
      </c>
      <c r="C69" s="54">
        <f>VLOOKUP(B13,Данные!$A$221:$S$243,19,FALSE)</f>
        <v>0</v>
      </c>
      <c r="D69" s="53" t="s">
        <v>10</v>
      </c>
      <c r="E69" s="54">
        <f>VLOOKUP(D13,Данные!$A$221:$S$243,19,FALSE)</f>
        <v>0</v>
      </c>
      <c r="F69" s="53" t="s">
        <v>10</v>
      </c>
      <c r="G69" s="54">
        <f>VLOOKUP(F13,Данные!$A$221:$S$243,19,FALSE)</f>
        <v>0</v>
      </c>
      <c r="H69" s="53" t="s">
        <v>10</v>
      </c>
      <c r="I69" s="56">
        <f>VLOOKUP(H13,Данные!$A$221:$S$243,19,FALSE)</f>
        <v>0</v>
      </c>
      <c r="K69" s="11"/>
      <c r="R69" s="12"/>
      <c r="S69" s="6"/>
      <c r="T69" s="6"/>
      <c r="U69" s="6"/>
      <c r="V69" s="6"/>
      <c r="W69" s="6"/>
      <c r="X69" s="6"/>
      <c r="Y69" s="6"/>
      <c r="Z69" s="16"/>
      <c r="AA69" s="14"/>
      <c r="AB69" s="15"/>
      <c r="AC69" s="14"/>
      <c r="AD69" s="11"/>
      <c r="AE69" s="14"/>
      <c r="AF69" s="14"/>
      <c r="AG69" s="14"/>
    </row>
    <row r="70" spans="1:33" ht="16.5" customHeight="1" x14ac:dyDescent="0.2">
      <c r="A70" s="46" t="s">
        <v>12</v>
      </c>
      <c r="B70" s="57" t="s">
        <v>179</v>
      </c>
      <c r="C70" s="54">
        <f>VLOOKUP(B13,Данные!$A$221:$S$243,16,FALSE)</f>
        <v>0</v>
      </c>
      <c r="D70" s="57" t="s">
        <v>179</v>
      </c>
      <c r="E70" s="54">
        <f>VLOOKUP(D13,Данные!$A$221:$S$243,16,FALSE)</f>
        <v>0</v>
      </c>
      <c r="F70" s="57" t="s">
        <v>179</v>
      </c>
      <c r="G70" s="54">
        <f>VLOOKUP(F13,Данные!$A$221:$S$243,16,FALSE)</f>
        <v>0</v>
      </c>
      <c r="H70" s="57" t="s">
        <v>179</v>
      </c>
      <c r="I70" s="56">
        <f>VLOOKUP(H13,Данные!$A$221:$S$243,16,FALSE)</f>
        <v>0</v>
      </c>
      <c r="K70" s="11"/>
      <c r="R70" s="12"/>
      <c r="S70" s="6"/>
      <c r="T70" s="6"/>
      <c r="U70" s="6"/>
      <c r="V70" s="6"/>
      <c r="W70" s="6"/>
      <c r="X70" s="6"/>
      <c r="Y70" s="6"/>
      <c r="Z70" s="16"/>
      <c r="AA70" s="14"/>
      <c r="AB70" s="15"/>
      <c r="AC70" s="14"/>
      <c r="AD70" s="11"/>
      <c r="AE70" s="14"/>
      <c r="AF70" s="14"/>
      <c r="AG70" s="14"/>
    </row>
    <row r="71" spans="1:33" ht="16.5" customHeight="1" x14ac:dyDescent="0.2">
      <c r="A71" s="73" t="s">
        <v>221</v>
      </c>
      <c r="B71" s="78"/>
      <c r="C71" s="79"/>
      <c r="D71" s="82"/>
      <c r="E71" s="79"/>
      <c r="F71" s="82"/>
      <c r="G71" s="79"/>
      <c r="H71" s="82"/>
      <c r="I71" s="78"/>
      <c r="K71" s="11"/>
      <c r="R71" s="12"/>
      <c r="S71" s="6"/>
      <c r="T71" s="6"/>
      <c r="U71" s="6"/>
      <c r="V71" s="6"/>
      <c r="W71" s="6"/>
      <c r="X71" s="6"/>
      <c r="Y71" s="6"/>
      <c r="Z71" s="16"/>
      <c r="AA71" s="14"/>
      <c r="AB71" s="15"/>
      <c r="AC71" s="14"/>
      <c r="AD71" s="11"/>
      <c r="AE71" s="14"/>
      <c r="AF71" s="14"/>
      <c r="AG71" s="14"/>
    </row>
    <row r="72" spans="1:33" s="97" customFormat="1" ht="16.5" customHeight="1" x14ac:dyDescent="0.2">
      <c r="A72" s="109" t="s">
        <v>67</v>
      </c>
      <c r="B72" s="57" t="s">
        <v>182</v>
      </c>
      <c r="C72" s="54">
        <f>C29</f>
        <v>0</v>
      </c>
      <c r="D72" s="57" t="s">
        <v>182</v>
      </c>
      <c r="E72" s="54">
        <f>E29</f>
        <v>0</v>
      </c>
      <c r="F72" s="57" t="s">
        <v>182</v>
      </c>
      <c r="G72" s="54">
        <f>G29</f>
        <v>0</v>
      </c>
      <c r="H72" s="57" t="s">
        <v>182</v>
      </c>
      <c r="I72" s="56">
        <f>I29</f>
        <v>0</v>
      </c>
      <c r="K72" s="94"/>
      <c r="R72" s="98"/>
      <c r="S72" s="99"/>
      <c r="T72" s="99"/>
      <c r="U72" s="99"/>
      <c r="V72" s="99"/>
      <c r="W72" s="99"/>
      <c r="X72" s="99"/>
      <c r="Y72" s="99"/>
      <c r="Z72" s="100"/>
      <c r="AA72" s="101"/>
      <c r="AB72" s="102"/>
      <c r="AC72" s="101"/>
      <c r="AD72" s="94"/>
      <c r="AE72" s="101"/>
      <c r="AF72" s="101"/>
      <c r="AG72" s="101"/>
    </row>
    <row r="73" spans="1:33" s="97" customFormat="1" ht="16.5" customHeight="1" x14ac:dyDescent="0.2">
      <c r="A73" s="46" t="s">
        <v>13</v>
      </c>
      <c r="B73" s="57" t="s">
        <v>181</v>
      </c>
      <c r="C73" s="54">
        <f>C30</f>
        <v>0</v>
      </c>
      <c r="D73" s="57" t="s">
        <v>181</v>
      </c>
      <c r="E73" s="54">
        <f>E30</f>
        <v>0</v>
      </c>
      <c r="F73" s="57" t="s">
        <v>181</v>
      </c>
      <c r="G73" s="54">
        <f>G30</f>
        <v>0</v>
      </c>
      <c r="H73" s="57" t="s">
        <v>181</v>
      </c>
      <c r="I73" s="56">
        <f>I30</f>
        <v>0</v>
      </c>
      <c r="K73" s="94"/>
      <c r="R73" s="98"/>
      <c r="S73" s="99"/>
      <c r="T73" s="99"/>
      <c r="U73" s="99"/>
      <c r="V73" s="99"/>
      <c r="W73" s="99"/>
      <c r="X73" s="99"/>
      <c r="Y73" s="99"/>
      <c r="Z73" s="100"/>
      <c r="AA73" s="101"/>
      <c r="AB73" s="102"/>
      <c r="AC73" s="101"/>
      <c r="AD73" s="94"/>
      <c r="AE73" s="101"/>
      <c r="AF73" s="101"/>
      <c r="AG73" s="101"/>
    </row>
    <row r="74" spans="1:33" s="97" customFormat="1" ht="16.5" customHeight="1" x14ac:dyDescent="0.2">
      <c r="A74" s="46" t="s">
        <v>12</v>
      </c>
      <c r="B74" s="57" t="s">
        <v>179</v>
      </c>
      <c r="C74" s="54">
        <f>C70</f>
        <v>0</v>
      </c>
      <c r="D74" s="57" t="s">
        <v>179</v>
      </c>
      <c r="E74" s="54">
        <f>E70</f>
        <v>0</v>
      </c>
      <c r="F74" s="57" t="s">
        <v>179</v>
      </c>
      <c r="G74" s="54">
        <f>G70</f>
        <v>0</v>
      </c>
      <c r="H74" s="57" t="s">
        <v>179</v>
      </c>
      <c r="I74" s="56">
        <f>I70</f>
        <v>0</v>
      </c>
      <c r="K74" s="94"/>
      <c r="R74" s="98"/>
      <c r="S74" s="99"/>
      <c r="T74" s="99"/>
      <c r="U74" s="99"/>
      <c r="V74" s="99"/>
      <c r="W74" s="99"/>
      <c r="X74" s="99"/>
      <c r="Y74" s="99"/>
      <c r="Z74" s="100"/>
      <c r="AA74" s="101"/>
      <c r="AB74" s="102"/>
      <c r="AC74" s="101"/>
      <c r="AD74" s="94"/>
      <c r="AE74" s="101"/>
      <c r="AF74" s="101"/>
      <c r="AG74" s="101"/>
    </row>
    <row r="75" spans="1:33" s="97" customFormat="1" ht="16.5" customHeight="1" x14ac:dyDescent="0.2">
      <c r="A75" s="46" t="s">
        <v>301</v>
      </c>
      <c r="B75" s="57" t="s">
        <v>180</v>
      </c>
      <c r="C75" s="54">
        <f>C31</f>
        <v>0</v>
      </c>
      <c r="D75" s="57" t="s">
        <v>180</v>
      </c>
      <c r="E75" s="54">
        <f>E31</f>
        <v>0</v>
      </c>
      <c r="F75" s="57" t="s">
        <v>180</v>
      </c>
      <c r="G75" s="54">
        <f>G31</f>
        <v>0</v>
      </c>
      <c r="H75" s="57" t="s">
        <v>180</v>
      </c>
      <c r="I75" s="56">
        <f>I31</f>
        <v>0</v>
      </c>
      <c r="K75" s="94"/>
      <c r="R75" s="98"/>
      <c r="S75" s="99"/>
      <c r="T75" s="99"/>
      <c r="U75" s="99"/>
      <c r="V75" s="99"/>
      <c r="W75" s="99"/>
      <c r="X75" s="99"/>
      <c r="Y75" s="99"/>
      <c r="Z75" s="100"/>
      <c r="AA75" s="101"/>
      <c r="AB75" s="102"/>
      <c r="AC75" s="101"/>
      <c r="AD75" s="94"/>
      <c r="AE75" s="101"/>
      <c r="AF75" s="101"/>
      <c r="AG75" s="101"/>
    </row>
    <row r="76" spans="1:33" s="97" customFormat="1" ht="16.5" customHeight="1" x14ac:dyDescent="0.2">
      <c r="A76" s="46" t="s">
        <v>302</v>
      </c>
      <c r="B76" s="57"/>
      <c r="C76" s="54">
        <f>C32</f>
        <v>0</v>
      </c>
      <c r="D76" s="57"/>
      <c r="E76" s="54">
        <f>E32</f>
        <v>0</v>
      </c>
      <c r="F76" s="57"/>
      <c r="G76" s="54">
        <f>G32</f>
        <v>0</v>
      </c>
      <c r="H76" s="57"/>
      <c r="I76" s="56">
        <f>I32</f>
        <v>0</v>
      </c>
      <c r="K76" s="94"/>
      <c r="R76" s="98"/>
      <c r="S76" s="99"/>
      <c r="T76" s="99"/>
      <c r="U76" s="99"/>
      <c r="V76" s="99"/>
      <c r="W76" s="99"/>
      <c r="X76" s="99"/>
      <c r="Y76" s="99"/>
      <c r="Z76" s="100"/>
      <c r="AA76" s="101"/>
      <c r="AB76" s="102"/>
      <c r="AC76" s="101"/>
      <c r="AD76" s="94"/>
      <c r="AE76" s="101"/>
      <c r="AF76" s="101"/>
      <c r="AG76" s="101"/>
    </row>
    <row r="77" spans="1:33" ht="12.75" customHeight="1" x14ac:dyDescent="0.2">
      <c r="A77" s="12"/>
      <c r="B77" s="41"/>
      <c r="C77" s="11"/>
      <c r="D77" s="11"/>
      <c r="E77" s="11"/>
      <c r="F77" s="11"/>
      <c r="G77" s="11"/>
      <c r="H77" s="11"/>
      <c r="I77" s="11"/>
      <c r="J77" s="42"/>
      <c r="K77" s="11"/>
    </row>
    <row r="78" spans="1:33" ht="12.75" customHeight="1" x14ac:dyDescent="0.2">
      <c r="A78" s="42"/>
      <c r="B78" s="41"/>
      <c r="C78" s="11"/>
      <c r="D78" s="11"/>
      <c r="E78" s="11"/>
      <c r="F78" s="11"/>
      <c r="G78" s="11"/>
      <c r="H78" s="11"/>
      <c r="I78" s="11"/>
      <c r="J78" s="42"/>
      <c r="K78" s="11"/>
    </row>
    <row r="79" spans="1:33" ht="19.5" customHeight="1" x14ac:dyDescent="0.2">
      <c r="A79" s="173" t="s">
        <v>131</v>
      </c>
      <c r="B79" s="173"/>
      <c r="C79" s="173"/>
      <c r="D79" s="173"/>
      <c r="E79" s="173"/>
      <c r="F79" s="173"/>
      <c r="G79" s="173"/>
      <c r="H79" s="173"/>
      <c r="I79" s="173"/>
      <c r="J79" s="42"/>
      <c r="K79" s="11"/>
    </row>
    <row r="80" spans="1:33" ht="28.5" customHeight="1" x14ac:dyDescent="0.2">
      <c r="A80" s="159" t="s">
        <v>244</v>
      </c>
      <c r="B80" s="160"/>
      <c r="C80" s="160"/>
      <c r="D80" s="160"/>
      <c r="E80" s="160"/>
      <c r="F80" s="160"/>
      <c r="G80" s="160"/>
      <c r="H80" s="160"/>
      <c r="I80" s="161"/>
      <c r="J80" s="12"/>
    </row>
    <row r="81" spans="1:13" ht="28.5" customHeight="1" x14ac:dyDescent="0.2">
      <c r="A81" s="159" t="s">
        <v>224</v>
      </c>
      <c r="B81" s="160"/>
      <c r="C81" s="160"/>
      <c r="D81" s="160"/>
      <c r="E81" s="160"/>
      <c r="F81" s="160"/>
      <c r="G81" s="160"/>
      <c r="H81" s="160"/>
      <c r="I81" s="161"/>
      <c r="J81" s="12"/>
    </row>
    <row r="82" spans="1:13" ht="28.5" customHeight="1" x14ac:dyDescent="0.2">
      <c r="A82" s="156" t="s">
        <v>50</v>
      </c>
      <c r="B82" s="157"/>
      <c r="C82" s="157"/>
      <c r="D82" s="157"/>
      <c r="E82" s="157"/>
      <c r="F82" s="157"/>
      <c r="G82" s="157"/>
      <c r="H82" s="157"/>
      <c r="I82" s="158"/>
      <c r="J82" s="17"/>
      <c r="K82" s="17"/>
    </row>
    <row r="83" spans="1:13" ht="28.5" customHeight="1" x14ac:dyDescent="0.2">
      <c r="A83" s="156" t="s">
        <v>132</v>
      </c>
      <c r="B83" s="157"/>
      <c r="C83" s="157"/>
      <c r="D83" s="157"/>
      <c r="E83" s="157"/>
      <c r="F83" s="157"/>
      <c r="G83" s="157"/>
      <c r="H83" s="157"/>
      <c r="I83" s="158"/>
      <c r="J83" s="43"/>
      <c r="K83" s="37"/>
      <c r="L83" s="19"/>
      <c r="M83" s="19"/>
    </row>
    <row r="84" spans="1:13" ht="12.75" customHeight="1" x14ac:dyDescent="0.2">
      <c r="K84" s="26"/>
    </row>
    <row r="85" spans="1:13" ht="12.75" customHeight="1" x14ac:dyDescent="0.2">
      <c r="A85" s="20"/>
      <c r="B85" s="20"/>
      <c r="C85" s="20"/>
      <c r="D85" s="20"/>
      <c r="E85" s="20"/>
      <c r="F85" s="20"/>
      <c r="G85" s="20"/>
      <c r="H85" s="20"/>
    </row>
    <row r="86" spans="1:13" x14ac:dyDescent="0.2">
      <c r="A86" s="20"/>
      <c r="B86" s="20"/>
      <c r="C86" s="20"/>
      <c r="D86" s="20"/>
      <c r="E86" s="20"/>
      <c r="F86" s="20"/>
      <c r="G86" s="20"/>
      <c r="H86" s="20"/>
    </row>
    <row r="87" spans="1:13" x14ac:dyDescent="0.2">
      <c r="A87" s="20"/>
      <c r="B87" s="20"/>
      <c r="C87" s="20"/>
      <c r="D87" s="20"/>
      <c r="E87" s="20"/>
      <c r="F87" s="20"/>
      <c r="G87" s="20"/>
      <c r="H87" s="20"/>
    </row>
    <row r="88" spans="1:13" x14ac:dyDescent="0.2">
      <c r="A88" s="20"/>
      <c r="B88" s="20"/>
      <c r="C88" s="20"/>
      <c r="D88" s="20"/>
      <c r="E88" s="20"/>
      <c r="F88" s="20"/>
      <c r="G88" s="20"/>
      <c r="H88" s="20"/>
    </row>
    <row r="89" spans="1:13" ht="12.75" customHeight="1" x14ac:dyDescent="0.2">
      <c r="A89" s="20"/>
      <c r="B89" s="20"/>
      <c r="C89" s="20"/>
      <c r="D89" s="20"/>
      <c r="E89" s="20"/>
      <c r="F89" s="20"/>
      <c r="G89" s="20"/>
      <c r="H89" s="20"/>
    </row>
    <row r="90" spans="1:13" ht="12.75" customHeight="1" x14ac:dyDescent="0.2">
      <c r="A90" s="20"/>
      <c r="B90" s="20"/>
      <c r="C90" s="20"/>
      <c r="D90" s="20"/>
      <c r="E90" s="20"/>
      <c r="F90" s="20"/>
      <c r="G90" s="20"/>
      <c r="H90" s="20"/>
    </row>
    <row r="91" spans="1:13" ht="12.75" customHeight="1" x14ac:dyDescent="0.2">
      <c r="A91" s="20"/>
      <c r="B91" s="20"/>
      <c r="C91" s="20"/>
      <c r="D91" s="20"/>
      <c r="E91" s="20"/>
      <c r="F91" s="20"/>
      <c r="G91" s="20"/>
      <c r="H91" s="20"/>
    </row>
    <row r="92" spans="1:13" ht="12.75" customHeight="1" x14ac:dyDescent="0.2">
      <c r="A92" s="20"/>
      <c r="B92" s="20"/>
      <c r="C92" s="20"/>
      <c r="D92" s="20"/>
      <c r="E92" s="20"/>
      <c r="F92" s="20"/>
      <c r="G92" s="20"/>
      <c r="H92" s="20"/>
    </row>
    <row r="93" spans="1:13" ht="12.75" customHeight="1" x14ac:dyDescent="0.2">
      <c r="A93" s="20"/>
      <c r="B93" s="20"/>
      <c r="C93" s="20"/>
      <c r="D93" s="20"/>
      <c r="E93" s="20"/>
      <c r="F93" s="20"/>
      <c r="G93" s="20"/>
      <c r="H93" s="20"/>
    </row>
    <row r="94" spans="1:13" ht="12.75" customHeight="1" x14ac:dyDescent="0.2">
      <c r="A94" s="21"/>
      <c r="B94" s="21"/>
      <c r="C94" s="21"/>
      <c r="D94" s="21"/>
      <c r="E94" s="21"/>
      <c r="F94" s="21"/>
      <c r="G94" s="21"/>
      <c r="H94" s="21"/>
    </row>
    <row r="95" spans="1:13" ht="12.75" customHeight="1" x14ac:dyDescent="0.2">
      <c r="A95" s="21"/>
      <c r="B95" s="21"/>
      <c r="C95" s="21"/>
      <c r="D95" s="21"/>
      <c r="E95" s="21"/>
      <c r="F95" s="21"/>
      <c r="G95" s="21"/>
      <c r="H95" s="21"/>
    </row>
    <row r="96" spans="1:13" ht="12.75" customHeight="1" x14ac:dyDescent="0.2">
      <c r="A96" s="21"/>
      <c r="B96" s="21"/>
      <c r="C96" s="21"/>
      <c r="D96" s="21"/>
      <c r="E96" s="21"/>
      <c r="F96" s="21"/>
      <c r="G96" s="21"/>
      <c r="H96" s="21"/>
    </row>
    <row r="97" spans="1:8" ht="12.75" customHeight="1" x14ac:dyDescent="0.2">
      <c r="A97" s="21"/>
      <c r="B97" s="21"/>
      <c r="C97" s="21"/>
      <c r="D97" s="21"/>
      <c r="E97" s="21"/>
      <c r="F97" s="21"/>
      <c r="G97" s="21"/>
      <c r="H97" s="21"/>
    </row>
    <row r="98" spans="1:8" ht="12.75" customHeight="1" x14ac:dyDescent="0.2">
      <c r="H98" s="12"/>
    </row>
    <row r="99" spans="1:8" ht="12.75" customHeight="1" x14ac:dyDescent="0.2">
      <c r="H99" s="12"/>
    </row>
    <row r="100" spans="1:8" x14ac:dyDescent="0.2">
      <c r="H100" s="12"/>
    </row>
    <row r="101" spans="1:8" x14ac:dyDescent="0.2">
      <c r="A101" s="5"/>
      <c r="B101" s="5"/>
      <c r="H101" s="12"/>
    </row>
    <row r="102" spans="1:8" x14ac:dyDescent="0.2">
      <c r="A102" s="5"/>
      <c r="B102" s="47"/>
      <c r="H102" s="12"/>
    </row>
    <row r="103" spans="1:8" x14ac:dyDescent="0.2">
      <c r="A103" s="5"/>
      <c r="B103" s="47"/>
      <c r="H103" s="12"/>
    </row>
    <row r="104" spans="1:8" x14ac:dyDescent="0.2">
      <c r="A104" s="44"/>
      <c r="B104" s="47"/>
      <c r="H104" s="12"/>
    </row>
    <row r="105" spans="1:8" x14ac:dyDescent="0.2">
      <c r="A105" s="44"/>
      <c r="B105" s="47"/>
      <c r="H105" s="12"/>
    </row>
    <row r="106" spans="1:8" x14ac:dyDescent="0.2">
      <c r="H106" s="12"/>
    </row>
    <row r="107" spans="1:8" x14ac:dyDescent="0.2">
      <c r="A107" s="28"/>
      <c r="H107" s="12"/>
    </row>
    <row r="108" spans="1:8" x14ac:dyDescent="0.2">
      <c r="A108" s="28"/>
      <c r="H108" s="12"/>
    </row>
    <row r="109" spans="1:8" x14ac:dyDescent="0.2">
      <c r="A109" s="28"/>
      <c r="H109" s="12"/>
    </row>
    <row r="110" spans="1:8" x14ac:dyDescent="0.2">
      <c r="A110" s="28"/>
      <c r="H110" s="12"/>
    </row>
    <row r="111" spans="1:8" x14ac:dyDescent="0.2">
      <c r="A111" s="28"/>
      <c r="H111" s="12"/>
    </row>
    <row r="112" spans="1:8" x14ac:dyDescent="0.2">
      <c r="A112" s="28"/>
      <c r="H112" s="12"/>
    </row>
    <row r="113" spans="1:11" x14ac:dyDescent="0.2">
      <c r="A113" s="28"/>
      <c r="H113" s="12"/>
    </row>
    <row r="114" spans="1:11" s="3" customFormat="1" x14ac:dyDescent="0.2">
      <c r="C114" s="29"/>
      <c r="D114" s="29"/>
      <c r="E114" s="29"/>
      <c r="F114" s="29"/>
      <c r="G114" s="29"/>
      <c r="H114" s="32"/>
      <c r="I114" s="29"/>
      <c r="J114" s="29"/>
      <c r="K114" s="29"/>
    </row>
    <row r="115" spans="1:11" s="3" customFormat="1" x14ac:dyDescent="0.2">
      <c r="A115" s="31"/>
      <c r="B115" s="153"/>
      <c r="C115" s="153"/>
      <c r="D115" s="29"/>
      <c r="E115" s="29"/>
      <c r="F115" s="29"/>
      <c r="G115" s="29"/>
      <c r="H115" s="32"/>
      <c r="I115" s="29"/>
      <c r="J115" s="29"/>
      <c r="K115" s="29"/>
    </row>
    <row r="116" spans="1:11" x14ac:dyDescent="0.2">
      <c r="A116" s="29"/>
      <c r="B116" s="29"/>
      <c r="C116" s="29"/>
    </row>
    <row r="117" spans="1:11" s="3" customFormat="1" x14ac:dyDescent="0.2">
      <c r="A117" s="30"/>
      <c r="B117" s="30"/>
      <c r="C117" s="30"/>
      <c r="D117" s="29"/>
      <c r="E117" s="29"/>
      <c r="F117" s="29"/>
      <c r="G117" s="29"/>
      <c r="H117" s="32"/>
      <c r="I117" s="29"/>
      <c r="J117" s="29"/>
      <c r="K117" s="29"/>
    </row>
    <row r="118" spans="1:11" s="3" customFormat="1" x14ac:dyDescent="0.2">
      <c r="A118" s="31"/>
      <c r="B118" s="30"/>
      <c r="C118" s="30"/>
      <c r="D118" s="29"/>
      <c r="E118" s="29"/>
      <c r="F118" s="29"/>
      <c r="G118" s="29"/>
      <c r="H118" s="32"/>
      <c r="I118" s="29"/>
      <c r="J118" s="29"/>
      <c r="K118" s="29"/>
    </row>
    <row r="119" spans="1:11" s="3" customFormat="1" x14ac:dyDescent="0.2">
      <c r="A119" s="31"/>
      <c r="B119" s="30"/>
      <c r="C119" s="30"/>
      <c r="D119" s="29"/>
      <c r="E119" s="29"/>
      <c r="F119" s="29"/>
      <c r="G119" s="29"/>
      <c r="H119" s="29"/>
      <c r="I119" s="29"/>
      <c r="J119" s="29"/>
      <c r="K119" s="29"/>
    </row>
    <row r="120" spans="1:11" s="3" customFormat="1" x14ac:dyDescent="0.2">
      <c r="A120" s="31"/>
      <c r="B120" s="30"/>
      <c r="C120" s="30"/>
      <c r="D120" s="29"/>
      <c r="E120" s="29"/>
      <c r="F120" s="29"/>
      <c r="G120" s="29"/>
      <c r="H120" s="29"/>
      <c r="I120" s="29"/>
      <c r="J120" s="29"/>
      <c r="K120" s="29"/>
    </row>
    <row r="121" spans="1:11" s="3" customFormat="1" x14ac:dyDescent="0.2">
      <c r="A121" s="31"/>
      <c r="B121" s="30"/>
      <c r="C121" s="30"/>
      <c r="D121" s="29"/>
      <c r="E121" s="29"/>
      <c r="F121" s="29"/>
      <c r="G121" s="29"/>
      <c r="H121" s="29"/>
      <c r="I121" s="29"/>
      <c r="J121" s="29"/>
      <c r="K121" s="29"/>
    </row>
    <row r="122" spans="1:11" s="3" customFormat="1" x14ac:dyDescent="0.2">
      <c r="A122" s="31"/>
      <c r="B122" s="30"/>
      <c r="C122" s="30"/>
      <c r="D122" s="29"/>
      <c r="E122" s="29"/>
      <c r="F122" s="29"/>
      <c r="G122" s="29"/>
      <c r="H122" s="29"/>
      <c r="I122" s="29"/>
      <c r="J122" s="29"/>
      <c r="K122" s="29"/>
    </row>
    <row r="123" spans="1:11" s="3" customFormat="1" x14ac:dyDescent="0.2">
      <c r="A123" s="31"/>
      <c r="B123" s="30"/>
      <c r="C123" s="30"/>
      <c r="D123" s="29"/>
      <c r="E123" s="29"/>
      <c r="F123" s="29"/>
      <c r="G123" s="29"/>
      <c r="H123" s="29"/>
      <c r="I123" s="29"/>
      <c r="J123" s="29"/>
      <c r="K123" s="29"/>
    </row>
    <row r="124" spans="1:11" s="3" customFormat="1" x14ac:dyDescent="0.2">
      <c r="A124" s="31"/>
      <c r="B124" s="30"/>
      <c r="C124" s="30"/>
      <c r="D124" s="29"/>
      <c r="E124" s="29"/>
      <c r="F124" s="29"/>
      <c r="G124" s="29"/>
      <c r="H124" s="29"/>
      <c r="I124" s="29"/>
      <c r="J124" s="29"/>
      <c r="K124" s="29"/>
    </row>
    <row r="125" spans="1:11" s="3" customFormat="1" x14ac:dyDescent="0.2">
      <c r="A125" s="31"/>
      <c r="B125" s="30"/>
      <c r="C125" s="30"/>
      <c r="D125" s="29"/>
      <c r="E125" s="29"/>
      <c r="F125" s="29"/>
      <c r="G125" s="29"/>
      <c r="H125" s="29"/>
      <c r="I125" s="29"/>
      <c r="J125" s="29"/>
      <c r="K125" s="29"/>
    </row>
    <row r="126" spans="1:11" s="3" customFormat="1" x14ac:dyDescent="0.2">
      <c r="A126" s="31"/>
      <c r="B126" s="30"/>
      <c r="C126" s="30"/>
      <c r="D126" s="29"/>
      <c r="E126" s="29"/>
      <c r="F126" s="29"/>
      <c r="G126" s="29"/>
      <c r="H126" s="29"/>
      <c r="I126" s="29"/>
      <c r="J126" s="29"/>
      <c r="K126" s="29"/>
    </row>
    <row r="127" spans="1:11" s="3" customFormat="1" x14ac:dyDescent="0.2">
      <c r="A127" s="31"/>
      <c r="B127" s="30"/>
      <c r="C127" s="30"/>
      <c r="D127" s="29"/>
      <c r="E127" s="29"/>
      <c r="F127" s="29"/>
      <c r="G127" s="29"/>
      <c r="H127" s="29"/>
      <c r="I127" s="29"/>
      <c r="J127" s="29"/>
      <c r="K127" s="29"/>
    </row>
    <row r="128" spans="1:11" s="3" customFormat="1" x14ac:dyDescent="0.2">
      <c r="A128" s="31"/>
      <c r="B128" s="30"/>
      <c r="C128" s="30"/>
      <c r="D128" s="29"/>
      <c r="E128" s="29"/>
      <c r="F128" s="29"/>
      <c r="G128" s="29"/>
      <c r="H128" s="29"/>
      <c r="I128" s="29"/>
      <c r="J128" s="29"/>
      <c r="K128" s="29"/>
    </row>
    <row r="129" spans="1:11" s="3" customFormat="1" x14ac:dyDescent="0.2">
      <c r="A129" s="31"/>
      <c r="B129" s="30"/>
      <c r="C129" s="30"/>
      <c r="D129" s="29"/>
      <c r="E129" s="29"/>
      <c r="F129" s="29"/>
      <c r="G129" s="29"/>
      <c r="H129" s="29"/>
      <c r="I129" s="29"/>
      <c r="J129" s="29"/>
      <c r="K129" s="29"/>
    </row>
    <row r="130" spans="1:11" s="3" customFormat="1" x14ac:dyDescent="0.2">
      <c r="A130" s="31"/>
      <c r="B130" s="30"/>
      <c r="C130" s="30"/>
      <c r="D130" s="29"/>
      <c r="E130" s="29"/>
      <c r="F130" s="29"/>
      <c r="G130" s="29"/>
      <c r="H130" s="29"/>
      <c r="I130" s="29"/>
      <c r="J130" s="29"/>
      <c r="K130" s="29"/>
    </row>
    <row r="131" spans="1:11" s="3" customFormat="1" x14ac:dyDescent="0.2">
      <c r="A131" s="31"/>
      <c r="B131" s="30"/>
      <c r="C131" s="30"/>
      <c r="D131" s="29"/>
      <c r="E131" s="29"/>
      <c r="F131" s="29"/>
      <c r="G131" s="29"/>
      <c r="H131" s="29"/>
      <c r="I131" s="29"/>
      <c r="J131" s="29"/>
      <c r="K131" s="29"/>
    </row>
    <row r="132" spans="1:11" s="3" customFormat="1" x14ac:dyDescent="0.2">
      <c r="A132" s="31"/>
      <c r="B132" s="30"/>
      <c r="C132" s="30"/>
      <c r="D132" s="29"/>
      <c r="E132" s="29"/>
      <c r="F132" s="29"/>
      <c r="G132" s="29"/>
      <c r="H132" s="29"/>
      <c r="I132" s="29"/>
      <c r="J132" s="29"/>
      <c r="K132" s="29"/>
    </row>
    <row r="133" spans="1:11" s="3" customFormat="1" x14ac:dyDescent="0.2">
      <c r="A133" s="31"/>
      <c r="B133" s="30"/>
      <c r="C133" s="30"/>
      <c r="D133" s="29"/>
      <c r="E133" s="29"/>
      <c r="F133" s="29"/>
      <c r="G133" s="29"/>
      <c r="H133" s="29"/>
      <c r="I133" s="29"/>
      <c r="J133" s="29"/>
      <c r="K133" s="29"/>
    </row>
    <row r="134" spans="1:11" s="3" customFormat="1" x14ac:dyDescent="0.2">
      <c r="A134" s="31"/>
      <c r="B134" s="30"/>
      <c r="C134" s="30"/>
      <c r="D134" s="29"/>
      <c r="E134" s="29"/>
      <c r="F134" s="29"/>
      <c r="G134" s="29"/>
      <c r="H134" s="29"/>
      <c r="I134" s="29"/>
      <c r="J134" s="29"/>
      <c r="K134" s="29"/>
    </row>
    <row r="135" spans="1:11" s="3" customFormat="1" x14ac:dyDescent="0.2">
      <c r="A135" s="31"/>
      <c r="B135" s="30"/>
      <c r="C135" s="30"/>
      <c r="D135" s="29"/>
      <c r="E135" s="29"/>
      <c r="F135" s="29"/>
      <c r="G135" s="29"/>
      <c r="H135" s="29"/>
      <c r="I135" s="29"/>
      <c r="J135" s="29"/>
      <c r="K135" s="29"/>
    </row>
    <row r="136" spans="1:11" s="3" customFormat="1" x14ac:dyDescent="0.2">
      <c r="A136" s="31"/>
      <c r="B136" s="30"/>
      <c r="C136" s="30"/>
      <c r="D136" s="29"/>
      <c r="E136" s="29"/>
      <c r="F136" s="29"/>
      <c r="G136" s="29"/>
      <c r="H136" s="29"/>
      <c r="I136" s="29"/>
      <c r="J136" s="29"/>
      <c r="K136" s="29"/>
    </row>
    <row r="137" spans="1:11" s="3" customFormat="1" x14ac:dyDescent="0.2">
      <c r="A137" s="31"/>
      <c r="B137" s="30"/>
      <c r="C137" s="30"/>
      <c r="D137" s="29"/>
      <c r="E137" s="29"/>
      <c r="F137" s="29"/>
      <c r="G137" s="29"/>
      <c r="H137" s="29"/>
      <c r="I137" s="29"/>
      <c r="J137" s="29"/>
      <c r="K137" s="29"/>
    </row>
    <row r="138" spans="1:11" s="3" customFormat="1" x14ac:dyDescent="0.2">
      <c r="A138" s="31"/>
      <c r="B138" s="30"/>
      <c r="C138" s="30"/>
      <c r="D138" s="29"/>
      <c r="E138" s="29"/>
      <c r="F138" s="29"/>
      <c r="G138" s="29"/>
      <c r="H138" s="29"/>
      <c r="I138" s="29"/>
      <c r="J138" s="29"/>
      <c r="K138" s="29"/>
    </row>
    <row r="139" spans="1:11" s="3" customFormat="1" x14ac:dyDescent="0.2">
      <c r="A139" s="31"/>
      <c r="B139" s="30"/>
      <c r="C139" s="30"/>
      <c r="D139" s="29"/>
      <c r="E139" s="29"/>
      <c r="F139" s="29"/>
      <c r="G139" s="29"/>
      <c r="H139" s="29"/>
      <c r="I139" s="29"/>
      <c r="J139" s="29"/>
      <c r="K139" s="29"/>
    </row>
    <row r="140" spans="1:11" s="3" customFormat="1" x14ac:dyDescent="0.2">
      <c r="A140" s="31"/>
      <c r="B140" s="30"/>
      <c r="C140" s="30"/>
      <c r="D140" s="29"/>
      <c r="E140" s="29"/>
      <c r="F140" s="29"/>
      <c r="G140" s="29"/>
      <c r="H140" s="29"/>
      <c r="I140" s="29"/>
      <c r="J140" s="29"/>
      <c r="K140" s="29"/>
    </row>
    <row r="141" spans="1:11" s="3" customFormat="1" x14ac:dyDescent="0.2">
      <c r="A141" s="31"/>
      <c r="B141" s="30"/>
      <c r="C141" s="30"/>
      <c r="D141" s="29"/>
      <c r="E141" s="29"/>
      <c r="F141" s="29"/>
      <c r="G141" s="29"/>
      <c r="H141" s="29"/>
      <c r="I141" s="29"/>
      <c r="J141" s="29"/>
      <c r="K141" s="29"/>
    </row>
    <row r="142" spans="1:11" s="3" customFormat="1" x14ac:dyDescent="0.2">
      <c r="A142" s="31"/>
      <c r="B142" s="30"/>
      <c r="C142" s="30"/>
      <c r="D142" s="29"/>
      <c r="E142" s="29"/>
      <c r="F142" s="29"/>
      <c r="G142" s="29"/>
      <c r="H142" s="29"/>
      <c r="I142" s="29"/>
      <c r="J142" s="29"/>
      <c r="K142" s="29"/>
    </row>
    <row r="143" spans="1:11" s="3" customFormat="1" x14ac:dyDescent="0.2">
      <c r="A143" s="31"/>
      <c r="B143" s="30"/>
      <c r="C143" s="30"/>
      <c r="D143" s="29"/>
      <c r="E143" s="29"/>
      <c r="F143" s="29"/>
      <c r="G143" s="29"/>
      <c r="H143" s="29"/>
      <c r="I143" s="29"/>
      <c r="J143" s="29"/>
      <c r="K143" s="29"/>
    </row>
    <row r="144" spans="1:11" s="3" customFormat="1" x14ac:dyDescent="0.2">
      <c r="A144" s="31"/>
      <c r="B144" s="29"/>
      <c r="C144" s="29"/>
      <c r="D144" s="29"/>
      <c r="E144" s="29"/>
      <c r="F144" s="29"/>
      <c r="G144" s="29"/>
      <c r="H144" s="29"/>
      <c r="I144" s="29"/>
      <c r="J144" s="29"/>
      <c r="K144" s="29"/>
    </row>
    <row r="145" spans="1:11" s="3" customFormat="1" x14ac:dyDescent="0.2">
      <c r="A145" s="31"/>
      <c r="B145" s="29"/>
      <c r="C145" s="29"/>
      <c r="D145" s="29"/>
      <c r="E145" s="29"/>
      <c r="F145" s="29"/>
      <c r="G145" s="29"/>
      <c r="H145" s="29"/>
      <c r="I145" s="29"/>
      <c r="J145" s="29"/>
      <c r="K145" s="29"/>
    </row>
    <row r="146" spans="1:11" s="35" customFormat="1" x14ac:dyDescent="0.25">
      <c r="A146" s="33"/>
      <c r="B146" s="34"/>
      <c r="C146" s="34"/>
      <c r="D146" s="34"/>
      <c r="E146" s="34"/>
      <c r="F146" s="34"/>
      <c r="G146" s="34"/>
      <c r="H146" s="34"/>
      <c r="I146" s="34"/>
      <c r="J146" s="32"/>
      <c r="K146" s="32"/>
    </row>
    <row r="147" spans="1:11" s="3" customFormat="1" x14ac:dyDescent="0.2">
      <c r="A147" s="29"/>
      <c r="B147" s="31"/>
      <c r="C147" s="31"/>
      <c r="D147" s="31"/>
      <c r="E147" s="31"/>
      <c r="F147" s="31"/>
      <c r="G147" s="31"/>
      <c r="H147" s="30"/>
      <c r="I147" s="30"/>
      <c r="J147" s="29"/>
      <c r="K147" s="29"/>
    </row>
    <row r="148" spans="1:11" s="3" customFormat="1" x14ac:dyDescent="0.2">
      <c r="A148" s="29"/>
      <c r="B148" s="31"/>
      <c r="C148" s="31"/>
      <c r="D148" s="31"/>
      <c r="E148" s="31"/>
      <c r="F148" s="31"/>
      <c r="G148" s="31"/>
      <c r="H148" s="30"/>
      <c r="I148" s="30"/>
      <c r="J148" s="29"/>
      <c r="K148" s="29"/>
    </row>
    <row r="149" spans="1:11" s="3" customFormat="1" x14ac:dyDescent="0.2">
      <c r="A149" s="29"/>
      <c r="B149" s="31"/>
      <c r="C149" s="31"/>
      <c r="D149" s="31"/>
      <c r="E149" s="31"/>
      <c r="F149" s="31"/>
      <c r="G149" s="31"/>
      <c r="H149" s="30"/>
      <c r="I149" s="30"/>
      <c r="J149" s="29"/>
      <c r="K149" s="29"/>
    </row>
    <row r="150" spans="1:11" s="3" customFormat="1" x14ac:dyDescent="0.2">
      <c r="A150" s="34"/>
      <c r="B150" s="34"/>
      <c r="C150" s="34"/>
      <c r="D150" s="34"/>
      <c r="E150" s="34"/>
      <c r="F150" s="34"/>
      <c r="G150" s="34"/>
      <c r="H150" s="34"/>
      <c r="I150" s="34"/>
      <c r="J150" s="29"/>
      <c r="K150" s="29"/>
    </row>
    <row r="151" spans="1:11" s="3" customFormat="1" x14ac:dyDescent="0.2">
      <c r="A151" s="29"/>
      <c r="B151" s="31"/>
      <c r="C151" s="31"/>
      <c r="D151" s="31"/>
      <c r="E151" s="31"/>
      <c r="F151" s="31"/>
      <c r="G151" s="31"/>
      <c r="H151" s="30"/>
      <c r="I151" s="30"/>
      <c r="J151" s="29"/>
      <c r="K151" s="29"/>
    </row>
    <row r="152" spans="1:11" s="3" customFormat="1" x14ac:dyDescent="0.2">
      <c r="A152" s="29"/>
      <c r="B152" s="31"/>
      <c r="C152" s="31"/>
      <c r="D152" s="31"/>
      <c r="E152" s="31"/>
      <c r="F152" s="31"/>
      <c r="G152" s="31"/>
      <c r="H152" s="30"/>
      <c r="I152" s="30"/>
      <c r="J152" s="29"/>
      <c r="K152" s="29"/>
    </row>
    <row r="153" spans="1:11" s="3" customFormat="1" x14ac:dyDescent="0.2">
      <c r="A153" s="29"/>
      <c r="B153" s="31"/>
      <c r="C153" s="31"/>
      <c r="D153" s="31"/>
      <c r="E153" s="31"/>
      <c r="F153" s="31"/>
      <c r="G153" s="31"/>
      <c r="H153" s="30"/>
      <c r="I153" s="30"/>
      <c r="J153" s="29"/>
      <c r="K153" s="29"/>
    </row>
    <row r="154" spans="1:11" s="3" customFormat="1" x14ac:dyDescent="0.2">
      <c r="A154" s="29"/>
      <c r="B154" s="31"/>
      <c r="C154" s="31"/>
      <c r="D154" s="31"/>
      <c r="E154" s="31"/>
      <c r="F154" s="31"/>
      <c r="G154" s="31"/>
      <c r="H154" s="30"/>
      <c r="I154" s="30"/>
      <c r="J154" s="29"/>
      <c r="K154" s="29"/>
    </row>
    <row r="155" spans="1:11" s="3" customFormat="1" x14ac:dyDescent="0.2">
      <c r="A155" s="29"/>
      <c r="B155" s="31"/>
      <c r="C155" s="31"/>
      <c r="D155" s="31"/>
      <c r="E155" s="31"/>
      <c r="F155" s="31"/>
      <c r="G155" s="31"/>
      <c r="H155" s="30"/>
      <c r="I155" s="30"/>
      <c r="J155" s="29"/>
      <c r="K155" s="29"/>
    </row>
    <row r="156" spans="1:11" s="3" customFormat="1" x14ac:dyDescent="0.2">
      <c r="A156" s="29"/>
      <c r="B156" s="31"/>
      <c r="C156" s="31"/>
      <c r="D156" s="31"/>
      <c r="E156" s="31"/>
      <c r="F156" s="31"/>
      <c r="G156" s="31"/>
      <c r="H156" s="30"/>
      <c r="I156" s="30"/>
      <c r="J156" s="29"/>
      <c r="K156" s="29"/>
    </row>
    <row r="157" spans="1:11" s="3" customFormat="1" x14ac:dyDescent="0.2">
      <c r="A157" s="29"/>
      <c r="B157" s="31"/>
      <c r="C157" s="31"/>
      <c r="D157" s="31"/>
      <c r="E157" s="31"/>
      <c r="F157" s="31"/>
      <c r="G157" s="31"/>
      <c r="H157" s="30"/>
      <c r="I157" s="30"/>
      <c r="J157" s="29"/>
      <c r="K157" s="29"/>
    </row>
    <row r="158" spans="1:11" s="3" customFormat="1" x14ac:dyDescent="0.2">
      <c r="A158" s="29"/>
      <c r="B158" s="31"/>
      <c r="C158" s="31"/>
      <c r="D158" s="31"/>
      <c r="E158" s="31"/>
      <c r="F158" s="31"/>
      <c r="G158" s="31"/>
      <c r="H158" s="30"/>
      <c r="I158" s="30"/>
      <c r="J158" s="29"/>
      <c r="K158" s="29"/>
    </row>
    <row r="159" spans="1:11" s="3" customFormat="1" x14ac:dyDescent="0.2">
      <c r="A159" s="29"/>
      <c r="B159" s="31"/>
      <c r="C159" s="31"/>
      <c r="D159" s="31"/>
      <c r="E159" s="31"/>
      <c r="F159" s="31"/>
      <c r="G159" s="31"/>
      <c r="H159" s="30"/>
      <c r="I159" s="30"/>
      <c r="J159" s="29"/>
      <c r="K159" s="29"/>
    </row>
    <row r="160" spans="1:11" s="3" customFormat="1" x14ac:dyDescent="0.2">
      <c r="A160" s="29"/>
      <c r="B160" s="31"/>
      <c r="C160" s="31"/>
      <c r="D160" s="31"/>
      <c r="E160" s="31"/>
      <c r="F160" s="31"/>
      <c r="G160" s="31"/>
      <c r="H160" s="30"/>
      <c r="I160" s="30"/>
      <c r="J160" s="29"/>
      <c r="K160" s="29"/>
    </row>
    <row r="161" spans="1:11" s="3" customFormat="1" x14ac:dyDescent="0.2">
      <c r="A161" s="29"/>
      <c r="B161" s="31"/>
      <c r="C161" s="31"/>
      <c r="D161" s="31"/>
      <c r="E161" s="31"/>
      <c r="F161" s="31"/>
      <c r="G161" s="31"/>
      <c r="H161" s="30"/>
      <c r="I161" s="30"/>
      <c r="J161" s="29"/>
      <c r="K161" s="29"/>
    </row>
    <row r="162" spans="1:11" s="3" customFormat="1" x14ac:dyDescent="0.2">
      <c r="A162" s="29"/>
      <c r="B162" s="31"/>
      <c r="C162" s="31"/>
      <c r="D162" s="31"/>
      <c r="E162" s="31"/>
      <c r="F162" s="31"/>
      <c r="G162" s="31"/>
      <c r="H162" s="30"/>
      <c r="I162" s="30"/>
      <c r="J162" s="29"/>
      <c r="K162" s="29"/>
    </row>
    <row r="163" spans="1:11" s="3" customFormat="1" x14ac:dyDescent="0.2">
      <c r="A163" s="29"/>
      <c r="B163" s="31"/>
      <c r="C163" s="31"/>
      <c r="D163" s="31"/>
      <c r="E163" s="31"/>
      <c r="F163" s="31"/>
      <c r="G163" s="31"/>
      <c r="H163" s="30"/>
      <c r="I163" s="30"/>
      <c r="J163" s="29"/>
      <c r="K163" s="29"/>
    </row>
    <row r="164" spans="1:11" s="3" customFormat="1" x14ac:dyDescent="0.2">
      <c r="A164" s="29"/>
      <c r="B164" s="31"/>
      <c r="C164" s="31"/>
      <c r="D164" s="31"/>
      <c r="E164" s="31"/>
      <c r="F164" s="31"/>
      <c r="G164" s="31"/>
      <c r="H164" s="30"/>
      <c r="I164" s="30"/>
      <c r="J164" s="29"/>
      <c r="K164" s="29"/>
    </row>
    <row r="165" spans="1:11" s="3" customFormat="1" x14ac:dyDescent="0.2">
      <c r="A165" s="29"/>
      <c r="B165" s="31"/>
      <c r="C165" s="31"/>
      <c r="D165" s="31"/>
      <c r="E165" s="31"/>
      <c r="F165" s="31"/>
      <c r="G165" s="31"/>
      <c r="H165" s="30"/>
      <c r="I165" s="30"/>
      <c r="J165" s="29"/>
      <c r="K165" s="29"/>
    </row>
    <row r="166" spans="1:11" s="3" customFormat="1" x14ac:dyDescent="0.2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</row>
    <row r="167" spans="1:11" s="3" customFormat="1" x14ac:dyDescent="0.2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</row>
    <row r="168" spans="1:11" s="3" customFormat="1" x14ac:dyDescent="0.2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</row>
    <row r="169" spans="1:11" s="3" customFormat="1" x14ac:dyDescent="0.2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</row>
    <row r="170" spans="1:11" s="3" customFormat="1" x14ac:dyDescent="0.2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</row>
    <row r="171" spans="1:11" s="3" customFormat="1" x14ac:dyDescent="0.2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</row>
    <row r="172" spans="1:11" s="3" customFormat="1" x14ac:dyDescent="0.2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</row>
    <row r="173" spans="1:11" s="3" customFormat="1" x14ac:dyDescent="0.2">
      <c r="A173" s="29"/>
      <c r="B173" s="29"/>
      <c r="C173" s="29"/>
      <c r="D173" s="29"/>
      <c r="J173" s="29"/>
      <c r="K173" s="29"/>
    </row>
    <row r="174" spans="1:11" s="3" customFormat="1" x14ac:dyDescent="0.2">
      <c r="A174" s="29"/>
      <c r="B174" s="29"/>
      <c r="C174" s="29"/>
      <c r="D174" s="29"/>
      <c r="J174" s="29"/>
      <c r="K174" s="29"/>
    </row>
    <row r="175" spans="1:11" s="3" customFormat="1" x14ac:dyDescent="0.2">
      <c r="A175" s="29"/>
      <c r="B175" s="29"/>
      <c r="C175" s="29"/>
      <c r="D175" s="29"/>
      <c r="J175" s="29"/>
      <c r="K175" s="29"/>
    </row>
    <row r="176" spans="1:11" s="3" customFormat="1" x14ac:dyDescent="0.2">
      <c r="A176" s="29"/>
      <c r="B176" s="29"/>
      <c r="C176" s="29"/>
      <c r="D176" s="29"/>
      <c r="J176" s="29"/>
      <c r="K176" s="29"/>
    </row>
    <row r="177" spans="1:11" s="3" customFormat="1" x14ac:dyDescent="0.2">
      <c r="A177" s="29"/>
      <c r="B177" s="29"/>
      <c r="C177" s="29"/>
      <c r="D177" s="29"/>
      <c r="J177" s="29"/>
      <c r="K177" s="29"/>
    </row>
    <row r="178" spans="1:11" s="3" customFormat="1" x14ac:dyDescent="0.2">
      <c r="A178" s="29"/>
      <c r="B178" s="29"/>
      <c r="C178" s="29"/>
      <c r="D178" s="29"/>
      <c r="J178" s="29"/>
      <c r="K178" s="29"/>
    </row>
    <row r="179" spans="1:11" s="3" customFormat="1" x14ac:dyDescent="0.2">
      <c r="A179" s="29"/>
      <c r="B179" s="29"/>
      <c r="C179" s="29"/>
      <c r="D179" s="29"/>
      <c r="J179" s="29"/>
      <c r="K179" s="29"/>
    </row>
    <row r="180" spans="1:11" s="3" customFormat="1" x14ac:dyDescent="0.2">
      <c r="A180" s="29"/>
      <c r="B180" s="29"/>
      <c r="C180" s="29"/>
      <c r="D180" s="29"/>
      <c r="J180" s="29"/>
      <c r="K180" s="29"/>
    </row>
    <row r="181" spans="1:11" s="3" customFormat="1" x14ac:dyDescent="0.2">
      <c r="A181" s="29"/>
      <c r="B181" s="29"/>
      <c r="C181" s="29"/>
      <c r="D181" s="29"/>
      <c r="J181" s="29"/>
      <c r="K181" s="29"/>
    </row>
    <row r="182" spans="1:11" s="3" customFormat="1" x14ac:dyDescent="0.2">
      <c r="A182" s="29"/>
      <c r="B182" s="29"/>
      <c r="C182" s="29"/>
      <c r="D182" s="29"/>
      <c r="J182" s="29"/>
      <c r="K182" s="29"/>
    </row>
    <row r="183" spans="1:11" s="3" customFormat="1" x14ac:dyDescent="0.2">
      <c r="A183" s="29"/>
      <c r="B183" s="29"/>
      <c r="C183" s="29"/>
      <c r="D183" s="29"/>
      <c r="J183" s="29"/>
      <c r="K183" s="29"/>
    </row>
    <row r="184" spans="1:11" s="3" customFormat="1" x14ac:dyDescent="0.2">
      <c r="A184" s="29"/>
      <c r="B184" s="29"/>
      <c r="C184" s="29"/>
      <c r="D184" s="29"/>
      <c r="J184" s="29"/>
      <c r="K184" s="29"/>
    </row>
    <row r="185" spans="1:11" s="3" customFormat="1" x14ac:dyDescent="0.2">
      <c r="A185" s="29"/>
      <c r="B185" s="29"/>
      <c r="C185" s="29"/>
      <c r="D185" s="29"/>
      <c r="J185" s="29"/>
      <c r="K185" s="29"/>
    </row>
    <row r="186" spans="1:11" s="3" customFormat="1" x14ac:dyDescent="0.2"/>
    <row r="187" spans="1:11" s="3" customFormat="1" x14ac:dyDescent="0.2"/>
    <row r="188" spans="1:11" s="3" customFormat="1" x14ac:dyDescent="0.2"/>
    <row r="189" spans="1:11" s="3" customFormat="1" x14ac:dyDescent="0.2"/>
    <row r="190" spans="1:11" s="3" customFormat="1" x14ac:dyDescent="0.2"/>
  </sheetData>
  <sheetProtection selectLockedCells="1" selectUnlockedCells="1"/>
  <mergeCells count="53">
    <mergeCell ref="A4:A5"/>
    <mergeCell ref="B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4:C14"/>
    <mergeCell ref="D14:E14"/>
    <mergeCell ref="F14:G14"/>
    <mergeCell ref="H14:I14"/>
    <mergeCell ref="B12:C12"/>
    <mergeCell ref="D12:E12"/>
    <mergeCell ref="F12:G12"/>
    <mergeCell ref="H12:I12"/>
    <mergeCell ref="B13:C13"/>
    <mergeCell ref="D13:E13"/>
    <mergeCell ref="F13:G13"/>
    <mergeCell ref="H13:I13"/>
    <mergeCell ref="A16:A17"/>
    <mergeCell ref="B16:C16"/>
    <mergeCell ref="D16:E16"/>
    <mergeCell ref="F16:G16"/>
    <mergeCell ref="H16:I16"/>
    <mergeCell ref="B115:C115"/>
    <mergeCell ref="A79:I79"/>
    <mergeCell ref="A80:I80"/>
    <mergeCell ref="A81:I81"/>
    <mergeCell ref="A82:I82"/>
    <mergeCell ref="A83:I83"/>
  </mergeCells>
  <dataValidations count="15">
    <dataValidation type="list" allowBlank="1" showInputMessage="1" showErrorMessage="1" sqref="H14:I14" xr:uid="{00000000-0002-0000-0400-000000000000}">
      <formula1>CEXUI</formula1>
    </dataValidation>
    <dataValidation type="list" allowBlank="1" showInputMessage="1" showErrorMessage="1" sqref="F14:G14" xr:uid="{00000000-0002-0000-0400-000001000000}">
      <formula1>IANCJ</formula1>
    </dataValidation>
    <dataValidation type="list" allowBlank="1" showInputMessage="1" showErrorMessage="1" sqref="D14:E14" xr:uid="{00000000-0002-0000-0400-000002000000}">
      <formula1>MUGNQ</formula1>
    </dataValidation>
    <dataValidation type="list" allowBlank="1" showInputMessage="1" showErrorMessage="1" sqref="B14:C14" xr:uid="{00000000-0002-0000-0400-000003000000}">
      <formula1>BTYPS</formula1>
    </dataValidation>
    <dataValidation type="list" allowBlank="1" showInputMessage="1" showErrorMessage="1" sqref="H12:I12" xr:uid="{00000000-0002-0000-0400-000009000000}">
      <formula1>OGGLT</formula1>
    </dataValidation>
    <dataValidation type="list" allowBlank="1" showInputMessage="1" showErrorMessage="1" sqref="F12:G12" xr:uid="{00000000-0002-0000-0400-00000A000000}">
      <formula1>TAYYL</formula1>
    </dataValidation>
    <dataValidation type="list" allowBlank="1" showInputMessage="1" showErrorMessage="1" sqref="D12:E12" xr:uid="{00000000-0002-0000-0400-00000B000000}">
      <formula1>PSAXR</formula1>
    </dataValidation>
    <dataValidation type="list" allowBlank="1" showInputMessage="1" showErrorMessage="1" sqref="B12:C12" xr:uid="{00000000-0002-0000-0400-00000C000000}">
      <formula1>GQIBE</formula1>
    </dataValidation>
    <dataValidation type="list" allowBlank="1" showInputMessage="1" showErrorMessage="1" sqref="B11 D11 F11 H11" xr:uid="{00000000-0002-0000-0400-00000D000000}">
      <formula1>"да, нет"</formula1>
    </dataValidation>
    <dataValidation type="decimal" operator="lessThanOrEqual" allowBlank="1" showInputMessage="1" showErrorMessage="1" sqref="H7 B7 D7 F7" xr:uid="{00000000-0002-0000-0400-00000E000000}">
      <formula1>3</formula1>
    </dataValidation>
    <dataValidation type="list" allowBlank="1" showInputMessage="1" showErrorMessage="1" sqref="B6:C6" xr:uid="{00000000-0002-0000-0400-00000F000000}">
      <formula1>CBUAQ</formula1>
    </dataValidation>
    <dataValidation type="list" allowBlank="1" showInputMessage="1" showErrorMessage="1" sqref="D6:E6" xr:uid="{00000000-0002-0000-0400-000010000000}">
      <formula1>RCUTI</formula1>
    </dataValidation>
    <dataValidation type="list" allowBlank="1" showInputMessage="1" showErrorMessage="1" sqref="F6:G6" xr:uid="{00000000-0002-0000-0400-000011000000}">
      <formula1>TTAIM</formula1>
    </dataValidation>
    <dataValidation type="list" allowBlank="1" showInputMessage="1" showErrorMessage="1" sqref="H6:I6" xr:uid="{00000000-0002-0000-0400-000012000000}">
      <formula1>KPHTG</formula1>
    </dataValidation>
    <dataValidation type="list" allowBlank="1" showInputMessage="1" showErrorMessage="1" sqref="B13:I13" xr:uid="{953D86DA-36F9-4008-B561-794EACE80B81}">
      <formula1>RCHVF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9" firstPageNumber="0" fitToHeight="2" orientation="portrait" horizontalDpi="300" verticalDpi="300" r:id="rId1"/>
  <headerFooter scaleWithDoc="0"/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</sheetPr>
  <dimension ref="A1:AL243"/>
  <sheetViews>
    <sheetView zoomScale="85" zoomScaleNormal="85" workbookViewId="0">
      <selection activeCell="C1" sqref="C1"/>
    </sheetView>
  </sheetViews>
  <sheetFormatPr defaultRowHeight="15" x14ac:dyDescent="0.25"/>
  <cols>
    <col min="1" max="1" width="34.140625" customWidth="1"/>
    <col min="2" max="2" width="11.42578125" customWidth="1"/>
    <col min="4" max="4" width="13.28515625" customWidth="1"/>
    <col min="5" max="5" width="15.140625" customWidth="1"/>
    <col min="6" max="7" width="15.5703125" customWidth="1"/>
    <col min="9" max="9" width="11.7109375" customWidth="1"/>
    <col min="10" max="10" width="11.42578125" customWidth="1"/>
    <col min="11" max="11" width="11.28515625" customWidth="1"/>
    <col min="12" max="12" width="11.7109375" customWidth="1"/>
    <col min="13" max="13" width="10.85546875" customWidth="1"/>
    <col min="14" max="14" width="11.140625" customWidth="1"/>
    <col min="22" max="23" width="13.28515625" customWidth="1"/>
  </cols>
  <sheetData>
    <row r="1" spans="1:12" ht="18.75" x14ac:dyDescent="0.3">
      <c r="A1" s="105" t="s">
        <v>121</v>
      </c>
    </row>
    <row r="2" spans="1:12" x14ac:dyDescent="0.25">
      <c r="A2" s="2"/>
      <c r="B2" s="2"/>
      <c r="C2" s="2"/>
      <c r="D2" s="2"/>
      <c r="E2" s="2"/>
      <c r="F2" s="2"/>
      <c r="G2" s="2"/>
      <c r="H2" s="12"/>
      <c r="I2" s="2"/>
      <c r="J2" s="2"/>
      <c r="K2" s="2"/>
      <c r="L2" s="2"/>
    </row>
    <row r="3" spans="1:12" x14ac:dyDescent="0.25">
      <c r="A3" s="70" t="s">
        <v>124</v>
      </c>
      <c r="B3" s="162" t="s">
        <v>80</v>
      </c>
      <c r="C3" s="162"/>
      <c r="D3" s="2"/>
      <c r="E3" s="2"/>
      <c r="F3" s="70" t="s">
        <v>124</v>
      </c>
      <c r="G3" s="70" t="s">
        <v>80</v>
      </c>
      <c r="I3" s="2"/>
      <c r="J3" s="2"/>
      <c r="K3" s="2"/>
      <c r="L3" s="2"/>
    </row>
    <row r="4" spans="1:12" ht="38.25" x14ac:dyDescent="0.25">
      <c r="A4" s="62" t="s">
        <v>54</v>
      </c>
      <c r="B4" s="62" t="s">
        <v>54</v>
      </c>
      <c r="C4" s="86" t="s">
        <v>7</v>
      </c>
      <c r="D4" s="2"/>
      <c r="E4" s="2"/>
      <c r="F4" s="62" t="s">
        <v>200</v>
      </c>
      <c r="G4" s="62" t="s">
        <v>200</v>
      </c>
      <c r="I4" s="2"/>
      <c r="J4" s="2"/>
      <c r="K4" s="2"/>
      <c r="L4" s="2"/>
    </row>
    <row r="5" spans="1:12" x14ac:dyDescent="0.25">
      <c r="A5" s="24">
        <v>0</v>
      </c>
      <c r="B5" s="24">
        <v>0</v>
      </c>
      <c r="C5" s="24">
        <v>0</v>
      </c>
      <c r="D5" s="2"/>
      <c r="E5" s="2"/>
      <c r="F5" s="65" t="s">
        <v>201</v>
      </c>
      <c r="G5" s="65" t="s">
        <v>201</v>
      </c>
      <c r="I5" s="2"/>
      <c r="J5" s="2"/>
      <c r="K5" s="2"/>
      <c r="L5" s="2"/>
    </row>
    <row r="6" spans="1:12" x14ac:dyDescent="0.25">
      <c r="A6" s="23">
        <v>0.57999999999999996</v>
      </c>
      <c r="B6" s="24">
        <v>0.5</v>
      </c>
      <c r="C6" s="24">
        <v>5</v>
      </c>
      <c r="D6" s="2"/>
      <c r="E6" s="2"/>
      <c r="F6" s="63" t="s">
        <v>45</v>
      </c>
      <c r="G6" s="63" t="s">
        <v>45</v>
      </c>
      <c r="I6" s="2"/>
      <c r="J6" s="2"/>
      <c r="K6" s="2"/>
      <c r="L6" s="2"/>
    </row>
    <row r="7" spans="1:12" x14ac:dyDescent="0.25">
      <c r="A7" s="23">
        <v>0.69</v>
      </c>
      <c r="B7" s="24">
        <v>0.6</v>
      </c>
      <c r="C7" s="24">
        <v>6</v>
      </c>
      <c r="D7" s="2"/>
      <c r="E7" s="2"/>
      <c r="F7" s="2"/>
      <c r="G7" s="2"/>
      <c r="H7" s="2"/>
      <c r="I7" s="2"/>
      <c r="J7" s="2"/>
      <c r="K7" s="2"/>
      <c r="L7" s="2"/>
    </row>
    <row r="8" spans="1:12" x14ac:dyDescent="0.25">
      <c r="A8" s="23">
        <v>0.8</v>
      </c>
      <c r="B8" s="24">
        <v>0.7</v>
      </c>
      <c r="C8" s="24">
        <v>7</v>
      </c>
      <c r="D8" s="2"/>
      <c r="E8" s="2"/>
      <c r="F8" s="2"/>
      <c r="G8" s="2"/>
      <c r="H8" s="2"/>
      <c r="I8" s="2"/>
      <c r="J8" s="2"/>
      <c r="K8" s="2"/>
      <c r="L8" s="2"/>
    </row>
    <row r="9" spans="1:12" x14ac:dyDescent="0.25">
      <c r="A9" s="23">
        <v>0.91</v>
      </c>
      <c r="B9" s="24">
        <v>0.8</v>
      </c>
      <c r="C9" s="24">
        <v>8</v>
      </c>
      <c r="D9" s="2"/>
      <c r="E9" s="2"/>
      <c r="H9" s="2"/>
      <c r="I9" s="2"/>
      <c r="J9" s="2"/>
      <c r="K9" s="2"/>
      <c r="L9" s="2"/>
    </row>
    <row r="10" spans="1:12" x14ac:dyDescent="0.25">
      <c r="A10" s="23">
        <v>1.02</v>
      </c>
      <c r="B10" s="24">
        <v>0.9</v>
      </c>
      <c r="C10" s="24">
        <v>9</v>
      </c>
      <c r="D10" s="2"/>
      <c r="E10" s="2"/>
      <c r="H10" s="2"/>
      <c r="I10" s="2"/>
      <c r="J10" s="2"/>
      <c r="K10" s="2"/>
      <c r="L10" s="2"/>
    </row>
    <row r="11" spans="1:12" x14ac:dyDescent="0.25">
      <c r="A11" s="23">
        <v>1.1299999999999999</v>
      </c>
      <c r="B11" s="24">
        <v>1</v>
      </c>
      <c r="C11" s="24">
        <v>10</v>
      </c>
      <c r="D11" s="2"/>
      <c r="J11" s="2"/>
      <c r="K11" s="2"/>
      <c r="L11" s="2"/>
    </row>
    <row r="12" spans="1:12" x14ac:dyDescent="0.25">
      <c r="A12" s="23">
        <v>1.24</v>
      </c>
      <c r="B12" s="24">
        <v>1.1000000000000001</v>
      </c>
      <c r="C12" s="24">
        <v>11</v>
      </c>
      <c r="D12" s="2"/>
      <c r="E12" s="2"/>
      <c r="F12" s="2"/>
      <c r="G12" s="2"/>
      <c r="H12" s="2"/>
      <c r="I12" s="2"/>
      <c r="J12" s="2"/>
      <c r="K12" s="2"/>
      <c r="L12" s="2"/>
    </row>
    <row r="13" spans="1:12" x14ac:dyDescent="0.25">
      <c r="A13" s="23">
        <v>1.35</v>
      </c>
      <c r="B13" s="24">
        <v>1.2</v>
      </c>
      <c r="C13" s="24">
        <v>12</v>
      </c>
      <c r="D13" s="2"/>
      <c r="E13" s="2"/>
      <c r="F13" s="2"/>
      <c r="G13" s="2"/>
      <c r="H13" s="2"/>
      <c r="I13" s="2"/>
      <c r="J13" s="2"/>
      <c r="K13" s="2"/>
      <c r="L13" s="2"/>
    </row>
    <row r="14" spans="1:12" x14ac:dyDescent="0.25">
      <c r="A14" s="23">
        <v>1.46</v>
      </c>
      <c r="B14" s="24">
        <v>1.3</v>
      </c>
      <c r="C14" s="24">
        <v>13</v>
      </c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5">
      <c r="A15" s="23">
        <v>1.57</v>
      </c>
      <c r="B15" s="24">
        <v>1.4</v>
      </c>
      <c r="C15" s="24">
        <v>14</v>
      </c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5">
      <c r="A16" s="23">
        <v>1.68</v>
      </c>
      <c r="B16" s="24">
        <v>1.5</v>
      </c>
      <c r="C16" s="24">
        <v>15</v>
      </c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23">
        <v>1.79</v>
      </c>
      <c r="B17" s="24">
        <v>1.6</v>
      </c>
      <c r="C17" s="24">
        <v>16</v>
      </c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5">
      <c r="A18" s="23">
        <v>1.9</v>
      </c>
      <c r="B18" s="24">
        <v>1.7</v>
      </c>
      <c r="C18" s="24">
        <v>17</v>
      </c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25">
      <c r="A19" s="23">
        <v>2.0099999999999998</v>
      </c>
      <c r="B19" s="24">
        <v>1.8</v>
      </c>
      <c r="C19" s="24">
        <v>18</v>
      </c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25">
      <c r="A20" s="23">
        <f t="shared" ref="A20:A28" si="0">A19+0.11</f>
        <v>2.1199999999999997</v>
      </c>
      <c r="B20" s="24">
        <v>1.9</v>
      </c>
      <c r="C20" s="24">
        <v>19</v>
      </c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23">
        <f t="shared" si="0"/>
        <v>2.2299999999999995</v>
      </c>
      <c r="B21" s="24">
        <v>2</v>
      </c>
      <c r="C21" s="24">
        <v>20</v>
      </c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23">
        <f t="shared" si="0"/>
        <v>2.3399999999999994</v>
      </c>
      <c r="B22" s="24">
        <v>2.1</v>
      </c>
      <c r="C22" s="24">
        <v>21</v>
      </c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23">
        <f t="shared" si="0"/>
        <v>2.4499999999999993</v>
      </c>
      <c r="B23" s="24">
        <v>2.2000000000000002</v>
      </c>
      <c r="C23" s="24">
        <v>22</v>
      </c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23">
        <f t="shared" si="0"/>
        <v>2.5599999999999992</v>
      </c>
      <c r="B24" s="24">
        <v>2.2999999999999998</v>
      </c>
      <c r="C24" s="24">
        <v>23</v>
      </c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23">
        <f t="shared" si="0"/>
        <v>2.669999999999999</v>
      </c>
      <c r="B25" s="24">
        <v>2.4</v>
      </c>
      <c r="C25" s="24">
        <v>24</v>
      </c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23">
        <f t="shared" si="0"/>
        <v>2.7799999999999989</v>
      </c>
      <c r="B26" s="24">
        <v>2.5</v>
      </c>
      <c r="C26" s="24">
        <v>25</v>
      </c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23">
        <f t="shared" si="0"/>
        <v>2.8899999999999988</v>
      </c>
      <c r="B27" s="24">
        <v>2.6</v>
      </c>
      <c r="C27" s="24">
        <v>26</v>
      </c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3">
        <f t="shared" si="0"/>
        <v>2.9999999999999987</v>
      </c>
      <c r="B28" s="24">
        <v>2.7</v>
      </c>
      <c r="C28" s="24">
        <v>27</v>
      </c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3"/>
      <c r="B29" s="24">
        <v>2.8</v>
      </c>
      <c r="C29" s="24">
        <v>28</v>
      </c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3"/>
      <c r="B30" s="24">
        <v>2.9</v>
      </c>
      <c r="C30" s="24">
        <v>29</v>
      </c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3"/>
      <c r="B31" s="24">
        <v>3</v>
      </c>
      <c r="C31" s="24">
        <v>30</v>
      </c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1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8" x14ac:dyDescent="0.25">
      <c r="A33" s="50">
        <v>1</v>
      </c>
      <c r="B33" s="51">
        <v>2</v>
      </c>
      <c r="C33" s="51">
        <v>3</v>
      </c>
      <c r="D33" s="51">
        <v>4</v>
      </c>
      <c r="E33" s="51">
        <v>5</v>
      </c>
      <c r="F33" s="51">
        <v>6</v>
      </c>
      <c r="G33" s="51">
        <v>7</v>
      </c>
      <c r="H33" s="51">
        <v>8</v>
      </c>
      <c r="I33" s="51">
        <v>9</v>
      </c>
      <c r="J33" s="51">
        <v>10</v>
      </c>
      <c r="K33" s="51">
        <v>11</v>
      </c>
      <c r="L33" s="51">
        <v>12</v>
      </c>
      <c r="M33" s="51">
        <v>13</v>
      </c>
      <c r="N33" s="51">
        <v>14</v>
      </c>
      <c r="O33" s="51">
        <v>15</v>
      </c>
      <c r="P33" s="51">
        <v>16</v>
      </c>
      <c r="Q33" s="51">
        <v>17</v>
      </c>
      <c r="R33" s="51">
        <v>18</v>
      </c>
    </row>
    <row r="34" spans="1:18" ht="38.25" x14ac:dyDescent="0.25">
      <c r="A34" s="114" t="s">
        <v>55</v>
      </c>
      <c r="B34" s="115" t="s">
        <v>113</v>
      </c>
      <c r="C34" s="115" t="s">
        <v>116</v>
      </c>
      <c r="D34" s="115" t="s">
        <v>56</v>
      </c>
      <c r="E34" s="115" t="s">
        <v>11</v>
      </c>
      <c r="F34" s="115" t="s">
        <v>57</v>
      </c>
      <c r="G34" s="115" t="s">
        <v>43</v>
      </c>
      <c r="H34" s="115" t="s">
        <v>58</v>
      </c>
      <c r="I34" s="115" t="s">
        <v>46</v>
      </c>
      <c r="J34" s="115" t="s">
        <v>48</v>
      </c>
      <c r="K34" s="115" t="s">
        <v>199</v>
      </c>
      <c r="L34" s="115" t="s">
        <v>114</v>
      </c>
      <c r="M34" s="115" t="s">
        <v>115</v>
      </c>
      <c r="N34" s="116"/>
      <c r="O34" s="116"/>
      <c r="P34" s="116"/>
      <c r="Q34" s="116"/>
      <c r="R34" s="116"/>
    </row>
    <row r="35" spans="1:18" x14ac:dyDescent="0.25">
      <c r="A35" s="117" t="s">
        <v>45</v>
      </c>
      <c r="B35" s="118">
        <v>0</v>
      </c>
      <c r="C35" s="119">
        <v>0</v>
      </c>
      <c r="D35" s="119" t="s">
        <v>10</v>
      </c>
      <c r="E35" s="118">
        <v>0</v>
      </c>
      <c r="F35" s="119" t="s">
        <v>10</v>
      </c>
      <c r="G35" s="118">
        <v>0</v>
      </c>
      <c r="H35" s="119" t="s">
        <v>10</v>
      </c>
      <c r="I35" s="118">
        <v>0</v>
      </c>
      <c r="J35" s="118">
        <v>0</v>
      </c>
      <c r="K35" s="118">
        <v>0</v>
      </c>
      <c r="L35" s="118">
        <v>0</v>
      </c>
      <c r="M35" s="118">
        <v>0</v>
      </c>
      <c r="N35" s="116"/>
      <c r="O35" s="116"/>
      <c r="P35" s="116"/>
      <c r="Q35" s="116"/>
      <c r="R35" s="116"/>
    </row>
    <row r="36" spans="1:18" x14ac:dyDescent="0.25">
      <c r="A36" s="117" t="s">
        <v>16</v>
      </c>
      <c r="B36" s="118">
        <v>13</v>
      </c>
      <c r="C36" s="119">
        <v>15</v>
      </c>
      <c r="D36" s="119">
        <v>0.83</v>
      </c>
      <c r="E36" s="118">
        <v>2</v>
      </c>
      <c r="F36" s="119">
        <v>1.5</v>
      </c>
      <c r="G36" s="118">
        <v>1</v>
      </c>
      <c r="H36" s="119">
        <v>0.86</v>
      </c>
      <c r="I36" s="118">
        <v>1</v>
      </c>
      <c r="J36" s="118">
        <v>0</v>
      </c>
      <c r="K36" s="118">
        <v>0</v>
      </c>
      <c r="L36" s="118">
        <v>24</v>
      </c>
      <c r="M36" s="118">
        <v>32</v>
      </c>
      <c r="N36" s="116"/>
      <c r="O36" s="116"/>
      <c r="P36" s="116"/>
      <c r="Q36" s="116"/>
      <c r="R36" s="116"/>
    </row>
    <row r="37" spans="1:18" x14ac:dyDescent="0.25">
      <c r="A37" s="117" t="s">
        <v>185</v>
      </c>
      <c r="B37" s="118">
        <v>13</v>
      </c>
      <c r="C37" s="119">
        <v>15</v>
      </c>
      <c r="D37" s="119">
        <v>1.34</v>
      </c>
      <c r="E37" s="118">
        <v>2</v>
      </c>
      <c r="F37" s="119">
        <v>1.5</v>
      </c>
      <c r="G37" s="118">
        <v>1</v>
      </c>
      <c r="H37" s="119">
        <v>1.37</v>
      </c>
      <c r="I37" s="118">
        <v>1</v>
      </c>
      <c r="J37" s="118">
        <v>0</v>
      </c>
      <c r="K37" s="118">
        <v>0</v>
      </c>
      <c r="L37" s="118">
        <v>24</v>
      </c>
      <c r="M37" s="118">
        <v>32</v>
      </c>
      <c r="N37" s="116"/>
      <c r="O37" s="116"/>
      <c r="P37" s="116"/>
      <c r="Q37" s="116"/>
      <c r="R37" s="116"/>
    </row>
    <row r="38" spans="1:18" x14ac:dyDescent="0.25">
      <c r="A38" s="117" t="s">
        <v>17</v>
      </c>
      <c r="B38" s="118">
        <v>16</v>
      </c>
      <c r="C38" s="119">
        <v>18</v>
      </c>
      <c r="D38" s="119">
        <v>0.83</v>
      </c>
      <c r="E38" s="118">
        <v>2</v>
      </c>
      <c r="F38" s="119">
        <v>1.83</v>
      </c>
      <c r="G38" s="118">
        <v>1</v>
      </c>
      <c r="H38" s="119">
        <v>0.86</v>
      </c>
      <c r="I38" s="118">
        <v>0</v>
      </c>
      <c r="J38" s="118">
        <v>1</v>
      </c>
      <c r="K38" s="118">
        <v>0</v>
      </c>
      <c r="L38" s="118">
        <v>26</v>
      </c>
      <c r="M38" s="118">
        <v>34</v>
      </c>
      <c r="N38" s="116"/>
      <c r="O38" s="116"/>
      <c r="P38" s="116"/>
      <c r="Q38" s="116"/>
      <c r="R38" s="116"/>
    </row>
    <row r="39" spans="1:18" x14ac:dyDescent="0.25">
      <c r="A39" s="117" t="s">
        <v>186</v>
      </c>
      <c r="B39" s="118">
        <v>16</v>
      </c>
      <c r="C39" s="119">
        <v>18</v>
      </c>
      <c r="D39" s="119">
        <v>1.34</v>
      </c>
      <c r="E39" s="118">
        <v>2</v>
      </c>
      <c r="F39" s="119">
        <v>1.83</v>
      </c>
      <c r="G39" s="118">
        <v>1</v>
      </c>
      <c r="H39" s="119">
        <v>1.37</v>
      </c>
      <c r="I39" s="118">
        <v>0</v>
      </c>
      <c r="J39" s="118">
        <v>1</v>
      </c>
      <c r="K39" s="118">
        <v>0</v>
      </c>
      <c r="L39" s="118">
        <v>26</v>
      </c>
      <c r="M39" s="118">
        <v>34</v>
      </c>
      <c r="N39" s="116"/>
      <c r="O39" s="116"/>
      <c r="P39" s="116"/>
      <c r="Q39" s="116"/>
      <c r="R39" s="116"/>
    </row>
    <row r="40" spans="1:18" x14ac:dyDescent="0.25">
      <c r="A40" s="117" t="s">
        <v>187</v>
      </c>
      <c r="B40" s="118">
        <v>20</v>
      </c>
      <c r="C40" s="119">
        <v>23</v>
      </c>
      <c r="D40" s="119">
        <v>0.83</v>
      </c>
      <c r="E40" s="118">
        <v>2</v>
      </c>
      <c r="F40" s="119">
        <v>2.33</v>
      </c>
      <c r="G40" s="118">
        <v>1</v>
      </c>
      <c r="H40" s="119">
        <v>0.86</v>
      </c>
      <c r="I40" s="118">
        <v>0</v>
      </c>
      <c r="J40" s="118">
        <v>0</v>
      </c>
      <c r="K40" s="118">
        <v>1</v>
      </c>
      <c r="L40" s="118">
        <v>100</v>
      </c>
      <c r="M40" s="118">
        <v>112</v>
      </c>
      <c r="N40" s="116"/>
      <c r="O40" s="116"/>
      <c r="P40" s="116"/>
      <c r="Q40" s="116"/>
      <c r="R40" s="116"/>
    </row>
    <row r="41" spans="1:18" ht="51" x14ac:dyDescent="0.25">
      <c r="A41" s="120" t="s">
        <v>47</v>
      </c>
      <c r="B41" s="115" t="s">
        <v>232</v>
      </c>
      <c r="C41" s="115" t="s">
        <v>233</v>
      </c>
      <c r="D41" s="115" t="s">
        <v>234</v>
      </c>
      <c r="E41" s="115" t="s">
        <v>11</v>
      </c>
      <c r="F41" s="115" t="s">
        <v>57</v>
      </c>
      <c r="G41" s="115" t="s">
        <v>235</v>
      </c>
      <c r="H41" s="115" t="s">
        <v>236</v>
      </c>
      <c r="I41" s="115" t="s">
        <v>46</v>
      </c>
      <c r="J41" s="115" t="s">
        <v>48</v>
      </c>
      <c r="K41" s="115" t="s">
        <v>199</v>
      </c>
      <c r="L41" s="115" t="s">
        <v>114</v>
      </c>
      <c r="M41" s="115" t="s">
        <v>115</v>
      </c>
      <c r="N41" s="115" t="s">
        <v>227</v>
      </c>
      <c r="O41" s="115" t="s">
        <v>228</v>
      </c>
      <c r="P41" s="115" t="s">
        <v>229</v>
      </c>
      <c r="Q41" s="115" t="s">
        <v>230</v>
      </c>
      <c r="R41" s="115" t="s">
        <v>231</v>
      </c>
    </row>
    <row r="42" spans="1:18" x14ac:dyDescent="0.25">
      <c r="A42" s="117" t="s">
        <v>45</v>
      </c>
      <c r="B42" s="118">
        <v>0</v>
      </c>
      <c r="C42" s="119">
        <v>0</v>
      </c>
      <c r="D42" s="119" t="s">
        <v>10</v>
      </c>
      <c r="E42" s="118">
        <v>0</v>
      </c>
      <c r="F42" s="119" t="s">
        <v>10</v>
      </c>
      <c r="G42" s="118">
        <v>0</v>
      </c>
      <c r="H42" s="119" t="s">
        <v>10</v>
      </c>
      <c r="I42" s="118">
        <v>0</v>
      </c>
      <c r="J42" s="118">
        <v>0</v>
      </c>
      <c r="K42" s="118">
        <v>0</v>
      </c>
      <c r="L42" s="118">
        <v>0</v>
      </c>
      <c r="M42" s="118">
        <v>0</v>
      </c>
      <c r="N42" s="118">
        <v>0</v>
      </c>
      <c r="O42" s="118">
        <v>0</v>
      </c>
      <c r="P42" s="118">
        <v>0</v>
      </c>
      <c r="Q42" s="118">
        <v>0</v>
      </c>
      <c r="R42" s="118">
        <v>0</v>
      </c>
    </row>
    <row r="43" spans="1:18" x14ac:dyDescent="0.25">
      <c r="A43" s="117" t="s">
        <v>19</v>
      </c>
      <c r="B43" s="118">
        <v>26</v>
      </c>
      <c r="C43" s="119">
        <v>30</v>
      </c>
      <c r="D43" s="119">
        <v>1.64</v>
      </c>
      <c r="E43" s="118">
        <v>4</v>
      </c>
      <c r="F43" s="119">
        <v>1.5</v>
      </c>
      <c r="G43" s="118">
        <v>2</v>
      </c>
      <c r="H43" s="119">
        <v>1.67</v>
      </c>
      <c r="I43" s="118">
        <v>2</v>
      </c>
      <c r="J43" s="118">
        <v>0</v>
      </c>
      <c r="K43" s="118">
        <v>0</v>
      </c>
      <c r="L43" s="118">
        <v>50</v>
      </c>
      <c r="M43" s="118">
        <v>66</v>
      </c>
      <c r="N43" s="118">
        <v>0</v>
      </c>
      <c r="O43" s="118">
        <v>0</v>
      </c>
      <c r="P43" s="118">
        <v>0</v>
      </c>
      <c r="Q43" s="118">
        <v>0</v>
      </c>
      <c r="R43" s="118">
        <v>0</v>
      </c>
    </row>
    <row r="44" spans="1:18" x14ac:dyDescent="0.25">
      <c r="A44" s="117" t="s">
        <v>188</v>
      </c>
      <c r="B44" s="118">
        <v>26</v>
      </c>
      <c r="C44" s="119">
        <v>30</v>
      </c>
      <c r="D44" s="119">
        <v>1.84</v>
      </c>
      <c r="E44" s="118">
        <v>4</v>
      </c>
      <c r="F44" s="119">
        <v>1.5</v>
      </c>
      <c r="G44" s="118">
        <v>2</v>
      </c>
      <c r="H44" s="119">
        <v>1.87</v>
      </c>
      <c r="I44" s="118">
        <v>2</v>
      </c>
      <c r="J44" s="118">
        <v>0</v>
      </c>
      <c r="K44" s="118">
        <v>0</v>
      </c>
      <c r="L44" s="118">
        <v>50</v>
      </c>
      <c r="M44" s="118">
        <v>66</v>
      </c>
      <c r="N44" s="118">
        <v>0</v>
      </c>
      <c r="O44" s="118">
        <v>0</v>
      </c>
      <c r="P44" s="118">
        <v>0</v>
      </c>
      <c r="Q44" s="118">
        <v>0</v>
      </c>
      <c r="R44" s="118">
        <v>0</v>
      </c>
    </row>
    <row r="45" spans="1:18" x14ac:dyDescent="0.25">
      <c r="A45" s="117" t="s">
        <v>20</v>
      </c>
      <c r="B45" s="118">
        <v>32</v>
      </c>
      <c r="C45" s="119">
        <v>36</v>
      </c>
      <c r="D45" s="119">
        <v>1.64</v>
      </c>
      <c r="E45" s="118">
        <v>4</v>
      </c>
      <c r="F45" s="119">
        <v>1.83</v>
      </c>
      <c r="G45" s="118">
        <v>2</v>
      </c>
      <c r="H45" s="119">
        <v>1.67</v>
      </c>
      <c r="I45" s="118">
        <v>0</v>
      </c>
      <c r="J45" s="118">
        <v>2</v>
      </c>
      <c r="K45" s="118">
        <v>0</v>
      </c>
      <c r="L45" s="118">
        <v>54</v>
      </c>
      <c r="M45" s="118">
        <v>70</v>
      </c>
      <c r="N45" s="118">
        <v>0</v>
      </c>
      <c r="O45" s="118">
        <v>0</v>
      </c>
      <c r="P45" s="118">
        <v>0</v>
      </c>
      <c r="Q45" s="118">
        <v>0</v>
      </c>
      <c r="R45" s="118">
        <v>0</v>
      </c>
    </row>
    <row r="46" spans="1:18" x14ac:dyDescent="0.25">
      <c r="A46" s="117" t="s">
        <v>189</v>
      </c>
      <c r="B46" s="118">
        <v>32</v>
      </c>
      <c r="C46" s="119">
        <v>36</v>
      </c>
      <c r="D46" s="119">
        <v>1.83</v>
      </c>
      <c r="E46" s="118">
        <v>4</v>
      </c>
      <c r="F46" s="119">
        <v>1.83</v>
      </c>
      <c r="G46" s="118">
        <v>2</v>
      </c>
      <c r="H46" s="119">
        <v>1.87</v>
      </c>
      <c r="I46" s="118">
        <v>0</v>
      </c>
      <c r="J46" s="118">
        <v>2</v>
      </c>
      <c r="K46" s="118">
        <v>0</v>
      </c>
      <c r="L46" s="118">
        <v>54</v>
      </c>
      <c r="M46" s="118">
        <v>70</v>
      </c>
      <c r="N46" s="118">
        <v>0</v>
      </c>
      <c r="O46" s="118">
        <v>0</v>
      </c>
      <c r="P46" s="118">
        <v>0</v>
      </c>
      <c r="Q46" s="118">
        <v>0</v>
      </c>
      <c r="R46" s="118">
        <v>0</v>
      </c>
    </row>
    <row r="47" spans="1:18" x14ac:dyDescent="0.25">
      <c r="A47" s="117" t="s">
        <v>21</v>
      </c>
      <c r="B47" s="118">
        <v>24</v>
      </c>
      <c r="C47" s="119">
        <v>28</v>
      </c>
      <c r="D47" s="119">
        <v>1.64</v>
      </c>
      <c r="E47" s="118">
        <v>4</v>
      </c>
      <c r="F47" s="119">
        <v>1.39</v>
      </c>
      <c r="G47" s="118">
        <v>2</v>
      </c>
      <c r="H47" s="119">
        <v>1.67</v>
      </c>
      <c r="I47" s="118">
        <v>0</v>
      </c>
      <c r="J47" s="118">
        <v>0</v>
      </c>
      <c r="K47" s="118">
        <v>0</v>
      </c>
      <c r="L47" s="118">
        <v>34</v>
      </c>
      <c r="M47" s="118">
        <v>50</v>
      </c>
      <c r="N47" s="118">
        <v>0</v>
      </c>
      <c r="O47" s="118">
        <v>0</v>
      </c>
      <c r="P47" s="118">
        <v>0</v>
      </c>
      <c r="Q47" s="118">
        <v>0</v>
      </c>
      <c r="R47" s="118">
        <v>0</v>
      </c>
    </row>
    <row r="48" spans="1:18" x14ac:dyDescent="0.25">
      <c r="A48" s="117" t="s">
        <v>22</v>
      </c>
      <c r="B48" s="118">
        <v>24</v>
      </c>
      <c r="C48" s="119">
        <v>28</v>
      </c>
      <c r="D48" s="119">
        <v>1.9</v>
      </c>
      <c r="E48" s="118">
        <v>4</v>
      </c>
      <c r="F48" s="119">
        <v>1.39</v>
      </c>
      <c r="G48" s="118">
        <v>2</v>
      </c>
      <c r="H48" s="119">
        <v>1.93</v>
      </c>
      <c r="I48" s="118">
        <v>0</v>
      </c>
      <c r="J48" s="118">
        <v>0</v>
      </c>
      <c r="K48" s="118">
        <v>0</v>
      </c>
      <c r="L48" s="118">
        <v>34</v>
      </c>
      <c r="M48" s="118">
        <v>50</v>
      </c>
      <c r="N48" s="118">
        <v>0</v>
      </c>
      <c r="O48" s="118">
        <v>0</v>
      </c>
      <c r="P48" s="118">
        <v>0</v>
      </c>
      <c r="Q48" s="118">
        <v>0</v>
      </c>
      <c r="R48" s="118">
        <v>0</v>
      </c>
    </row>
    <row r="49" spans="1:18" x14ac:dyDescent="0.25">
      <c r="A49" s="117" t="s">
        <v>23</v>
      </c>
      <c r="B49" s="118">
        <v>24</v>
      </c>
      <c r="C49" s="119">
        <v>28</v>
      </c>
      <c r="D49" s="119">
        <v>2.1</v>
      </c>
      <c r="E49" s="118">
        <v>4</v>
      </c>
      <c r="F49" s="119">
        <v>1.39</v>
      </c>
      <c r="G49" s="118">
        <v>2</v>
      </c>
      <c r="H49" s="119">
        <v>2.13</v>
      </c>
      <c r="I49" s="118">
        <v>0</v>
      </c>
      <c r="J49" s="118">
        <v>0</v>
      </c>
      <c r="K49" s="118">
        <v>0</v>
      </c>
      <c r="L49" s="118">
        <v>36</v>
      </c>
      <c r="M49" s="118">
        <v>52</v>
      </c>
      <c r="N49" s="118">
        <v>0</v>
      </c>
      <c r="O49" s="118">
        <v>0</v>
      </c>
      <c r="P49" s="118">
        <v>0</v>
      </c>
      <c r="Q49" s="118">
        <v>0</v>
      </c>
      <c r="R49" s="118">
        <v>0</v>
      </c>
    </row>
    <row r="50" spans="1:18" x14ac:dyDescent="0.25">
      <c r="A50" s="117" t="s">
        <v>24</v>
      </c>
      <c r="B50" s="118">
        <v>30</v>
      </c>
      <c r="C50" s="119">
        <v>34</v>
      </c>
      <c r="D50" s="119">
        <v>1.64</v>
      </c>
      <c r="E50" s="118">
        <v>4</v>
      </c>
      <c r="F50" s="119">
        <v>1.72</v>
      </c>
      <c r="G50" s="118">
        <v>2</v>
      </c>
      <c r="H50" s="119">
        <v>1.67</v>
      </c>
      <c r="I50" s="118">
        <v>0</v>
      </c>
      <c r="J50" s="118">
        <v>0</v>
      </c>
      <c r="K50" s="118">
        <v>0</v>
      </c>
      <c r="L50" s="118">
        <v>38</v>
      </c>
      <c r="M50" s="118">
        <v>54</v>
      </c>
      <c r="N50" s="118">
        <v>0</v>
      </c>
      <c r="O50" s="118">
        <v>0</v>
      </c>
      <c r="P50" s="118">
        <v>0</v>
      </c>
      <c r="Q50" s="118">
        <v>0</v>
      </c>
      <c r="R50" s="118">
        <v>0</v>
      </c>
    </row>
    <row r="51" spans="1:18" x14ac:dyDescent="0.25">
      <c r="A51" s="117" t="s">
        <v>25</v>
      </c>
      <c r="B51" s="118">
        <v>30</v>
      </c>
      <c r="C51" s="119">
        <v>34</v>
      </c>
      <c r="D51" s="119">
        <v>1.9</v>
      </c>
      <c r="E51" s="118">
        <v>4</v>
      </c>
      <c r="F51" s="119">
        <v>1.72</v>
      </c>
      <c r="G51" s="118">
        <v>2</v>
      </c>
      <c r="H51" s="119">
        <v>1.93</v>
      </c>
      <c r="I51" s="118">
        <v>0</v>
      </c>
      <c r="J51" s="118">
        <v>0</v>
      </c>
      <c r="K51" s="118">
        <v>0</v>
      </c>
      <c r="L51" s="118">
        <v>38</v>
      </c>
      <c r="M51" s="118">
        <v>54</v>
      </c>
      <c r="N51" s="118">
        <v>0</v>
      </c>
      <c r="O51" s="118">
        <v>0</v>
      </c>
      <c r="P51" s="118">
        <v>0</v>
      </c>
      <c r="Q51" s="118">
        <v>0</v>
      </c>
      <c r="R51" s="118">
        <v>0</v>
      </c>
    </row>
    <row r="52" spans="1:18" x14ac:dyDescent="0.25">
      <c r="A52" s="117" t="s">
        <v>26</v>
      </c>
      <c r="B52" s="118">
        <v>30</v>
      </c>
      <c r="C52" s="119">
        <v>34</v>
      </c>
      <c r="D52" s="119">
        <v>2.1</v>
      </c>
      <c r="E52" s="118">
        <v>4</v>
      </c>
      <c r="F52" s="119">
        <v>1.72</v>
      </c>
      <c r="G52" s="118">
        <v>2</v>
      </c>
      <c r="H52" s="119">
        <v>2.13</v>
      </c>
      <c r="I52" s="118">
        <v>0</v>
      </c>
      <c r="J52" s="118">
        <v>0</v>
      </c>
      <c r="K52" s="118">
        <v>0</v>
      </c>
      <c r="L52" s="118">
        <v>40</v>
      </c>
      <c r="M52" s="118">
        <v>56</v>
      </c>
      <c r="N52" s="118">
        <v>0</v>
      </c>
      <c r="O52" s="118">
        <v>0</v>
      </c>
      <c r="P52" s="118">
        <v>0</v>
      </c>
      <c r="Q52" s="118">
        <v>0</v>
      </c>
      <c r="R52" s="118">
        <v>0</v>
      </c>
    </row>
    <row r="53" spans="1:18" s="124" customFormat="1" x14ac:dyDescent="0.25">
      <c r="A53" s="121" t="s">
        <v>190</v>
      </c>
      <c r="B53" s="122">
        <v>38</v>
      </c>
      <c r="C53" s="123">
        <v>44</v>
      </c>
      <c r="D53" s="123">
        <v>1.9</v>
      </c>
      <c r="E53" s="122">
        <v>4</v>
      </c>
      <c r="F53" s="123">
        <v>2.1800000000000002</v>
      </c>
      <c r="G53" s="122">
        <v>2</v>
      </c>
      <c r="H53" s="123">
        <v>1.93</v>
      </c>
      <c r="I53" s="122">
        <v>0</v>
      </c>
      <c r="J53" s="122">
        <v>0</v>
      </c>
      <c r="K53" s="122">
        <v>0</v>
      </c>
      <c r="L53" s="122">
        <v>172</v>
      </c>
      <c r="M53" s="122">
        <v>176</v>
      </c>
      <c r="N53" s="118">
        <v>0</v>
      </c>
      <c r="O53" s="118">
        <v>0</v>
      </c>
      <c r="P53" s="118">
        <v>0</v>
      </c>
      <c r="Q53" s="118">
        <v>0</v>
      </c>
      <c r="R53" s="118">
        <v>0</v>
      </c>
    </row>
    <row r="54" spans="1:18" s="124" customFormat="1" x14ac:dyDescent="0.25">
      <c r="A54" s="121" t="s">
        <v>241</v>
      </c>
      <c r="B54" s="123">
        <v>30</v>
      </c>
      <c r="C54" s="123">
        <v>34</v>
      </c>
      <c r="D54" s="123">
        <v>1.38</v>
      </c>
      <c r="E54" s="123">
        <v>6</v>
      </c>
      <c r="F54" s="123">
        <v>1.72</v>
      </c>
      <c r="G54" s="123">
        <v>2</v>
      </c>
      <c r="H54" s="123">
        <v>1.41</v>
      </c>
      <c r="I54" s="123">
        <v>0</v>
      </c>
      <c r="J54" s="123">
        <v>0</v>
      </c>
      <c r="K54" s="123">
        <v>0</v>
      </c>
      <c r="L54" s="123">
        <v>60</v>
      </c>
      <c r="M54" s="123">
        <v>76</v>
      </c>
      <c r="N54" s="125">
        <v>15</v>
      </c>
      <c r="O54" s="125">
        <v>17</v>
      </c>
      <c r="P54" s="125">
        <v>1.88</v>
      </c>
      <c r="Q54" s="125">
        <v>1</v>
      </c>
      <c r="R54" s="125">
        <v>1.91</v>
      </c>
    </row>
    <row r="55" spans="1:18" s="124" customFormat="1" x14ac:dyDescent="0.25">
      <c r="A55" s="121" t="s">
        <v>242</v>
      </c>
      <c r="B55" s="123">
        <v>15</v>
      </c>
      <c r="C55" s="123">
        <v>17</v>
      </c>
      <c r="D55" s="123">
        <v>1.38</v>
      </c>
      <c r="E55" s="123">
        <v>6</v>
      </c>
      <c r="F55" s="123">
        <v>1.72</v>
      </c>
      <c r="G55" s="123">
        <v>1</v>
      </c>
      <c r="H55" s="123">
        <v>1.41</v>
      </c>
      <c r="I55" s="123">
        <v>0</v>
      </c>
      <c r="J55" s="123">
        <v>0</v>
      </c>
      <c r="K55" s="123">
        <v>0</v>
      </c>
      <c r="L55" s="123">
        <v>60</v>
      </c>
      <c r="M55" s="123">
        <v>76</v>
      </c>
      <c r="N55" s="125">
        <v>30</v>
      </c>
      <c r="O55" s="125">
        <v>34</v>
      </c>
      <c r="P55" s="125">
        <v>1.88</v>
      </c>
      <c r="Q55" s="125">
        <v>2</v>
      </c>
      <c r="R55" s="125">
        <v>1.91</v>
      </c>
    </row>
    <row r="56" spans="1:18" s="124" customFormat="1" x14ac:dyDescent="0.25">
      <c r="A56" s="121" t="s">
        <v>243</v>
      </c>
      <c r="B56" s="123">
        <v>45</v>
      </c>
      <c r="C56" s="123">
        <v>51</v>
      </c>
      <c r="D56" s="123">
        <v>1.88</v>
      </c>
      <c r="E56" s="123">
        <v>6</v>
      </c>
      <c r="F56" s="123">
        <v>1.72</v>
      </c>
      <c r="G56" s="123">
        <v>3</v>
      </c>
      <c r="H56" s="123">
        <v>1.91</v>
      </c>
      <c r="I56" s="123">
        <v>0</v>
      </c>
      <c r="J56" s="123">
        <v>0</v>
      </c>
      <c r="K56" s="123">
        <v>0</v>
      </c>
      <c r="L56" s="123">
        <v>60</v>
      </c>
      <c r="M56" s="123">
        <v>76</v>
      </c>
      <c r="N56" s="122">
        <v>0</v>
      </c>
      <c r="O56" s="125">
        <v>0</v>
      </c>
      <c r="P56" s="125">
        <v>0</v>
      </c>
      <c r="Q56" s="122">
        <v>0</v>
      </c>
      <c r="R56" s="122">
        <v>0</v>
      </c>
    </row>
    <row r="57" spans="1:18" s="124" customFormat="1" x14ac:dyDescent="0.25">
      <c r="A57" s="121" t="s">
        <v>27</v>
      </c>
      <c r="B57" s="122">
        <v>24</v>
      </c>
      <c r="C57" s="123">
        <v>28</v>
      </c>
      <c r="D57" s="123">
        <v>1.64</v>
      </c>
      <c r="E57" s="122">
        <v>4</v>
      </c>
      <c r="F57" s="123">
        <v>1.39</v>
      </c>
      <c r="G57" s="122">
        <v>2</v>
      </c>
      <c r="H57" s="123">
        <v>1.67</v>
      </c>
      <c r="I57" s="122">
        <v>0</v>
      </c>
      <c r="J57" s="122">
        <v>0</v>
      </c>
      <c r="K57" s="122">
        <v>0</v>
      </c>
      <c r="L57" s="122">
        <v>34</v>
      </c>
      <c r="M57" s="122">
        <v>50</v>
      </c>
      <c r="N57" s="122">
        <v>0</v>
      </c>
      <c r="O57" s="122">
        <v>0</v>
      </c>
      <c r="P57" s="122">
        <v>0</v>
      </c>
      <c r="Q57" s="122">
        <v>0</v>
      </c>
      <c r="R57" s="122">
        <v>0</v>
      </c>
    </row>
    <row r="58" spans="1:18" s="124" customFormat="1" x14ac:dyDescent="0.25">
      <c r="A58" s="121" t="s">
        <v>28</v>
      </c>
      <c r="B58" s="122">
        <v>24</v>
      </c>
      <c r="C58" s="123">
        <v>28</v>
      </c>
      <c r="D58" s="123">
        <v>1.9</v>
      </c>
      <c r="E58" s="122">
        <v>4</v>
      </c>
      <c r="F58" s="123">
        <v>1.39</v>
      </c>
      <c r="G58" s="122">
        <v>2</v>
      </c>
      <c r="H58" s="123">
        <v>1.93</v>
      </c>
      <c r="I58" s="122">
        <v>0</v>
      </c>
      <c r="J58" s="122">
        <v>0</v>
      </c>
      <c r="K58" s="122">
        <v>0</v>
      </c>
      <c r="L58" s="122">
        <v>34</v>
      </c>
      <c r="M58" s="122">
        <v>50</v>
      </c>
      <c r="N58" s="122">
        <v>0</v>
      </c>
      <c r="O58" s="122">
        <v>0</v>
      </c>
      <c r="P58" s="122">
        <v>0</v>
      </c>
      <c r="Q58" s="122">
        <v>0</v>
      </c>
      <c r="R58" s="122">
        <v>0</v>
      </c>
    </row>
    <row r="59" spans="1:18" s="124" customFormat="1" x14ac:dyDescent="0.25">
      <c r="A59" s="121" t="s">
        <v>29</v>
      </c>
      <c r="B59" s="122">
        <v>24</v>
      </c>
      <c r="C59" s="123">
        <v>28</v>
      </c>
      <c r="D59" s="123">
        <v>2.1</v>
      </c>
      <c r="E59" s="122">
        <v>4</v>
      </c>
      <c r="F59" s="123">
        <v>1.39</v>
      </c>
      <c r="G59" s="122">
        <v>2</v>
      </c>
      <c r="H59" s="123">
        <v>2.13</v>
      </c>
      <c r="I59" s="122">
        <v>0</v>
      </c>
      <c r="J59" s="122">
        <v>0</v>
      </c>
      <c r="K59" s="122">
        <v>0</v>
      </c>
      <c r="L59" s="122">
        <v>36</v>
      </c>
      <c r="M59" s="122">
        <v>52</v>
      </c>
      <c r="N59" s="122">
        <v>0</v>
      </c>
      <c r="O59" s="122">
        <v>0</v>
      </c>
      <c r="P59" s="122">
        <v>0</v>
      </c>
      <c r="Q59" s="122">
        <v>0</v>
      </c>
      <c r="R59" s="122">
        <v>0</v>
      </c>
    </row>
    <row r="60" spans="1:18" s="124" customFormat="1" x14ac:dyDescent="0.25">
      <c r="A60" s="121" t="s">
        <v>31</v>
      </c>
      <c r="B60" s="122">
        <v>30</v>
      </c>
      <c r="C60" s="123">
        <v>34</v>
      </c>
      <c r="D60" s="123">
        <v>1.64</v>
      </c>
      <c r="E60" s="122">
        <v>4</v>
      </c>
      <c r="F60" s="123">
        <v>1.72</v>
      </c>
      <c r="G60" s="122">
        <v>2</v>
      </c>
      <c r="H60" s="123">
        <v>1.67</v>
      </c>
      <c r="I60" s="122">
        <v>0</v>
      </c>
      <c r="J60" s="122">
        <v>0</v>
      </c>
      <c r="K60" s="122">
        <v>0</v>
      </c>
      <c r="L60" s="122">
        <v>38</v>
      </c>
      <c r="M60" s="122">
        <v>54</v>
      </c>
      <c r="N60" s="122">
        <v>0</v>
      </c>
      <c r="O60" s="122">
        <v>0</v>
      </c>
      <c r="P60" s="122">
        <v>0</v>
      </c>
      <c r="Q60" s="122">
        <v>0</v>
      </c>
      <c r="R60" s="122">
        <v>0</v>
      </c>
    </row>
    <row r="61" spans="1:18" s="124" customFormat="1" x14ac:dyDescent="0.25">
      <c r="A61" s="121" t="s">
        <v>36</v>
      </c>
      <c r="B61" s="122">
        <v>30</v>
      </c>
      <c r="C61" s="123">
        <v>34</v>
      </c>
      <c r="D61" s="123">
        <v>1.9</v>
      </c>
      <c r="E61" s="122">
        <v>4</v>
      </c>
      <c r="F61" s="123">
        <v>1.72</v>
      </c>
      <c r="G61" s="122">
        <v>2</v>
      </c>
      <c r="H61" s="123">
        <v>1.93</v>
      </c>
      <c r="I61" s="122">
        <v>0</v>
      </c>
      <c r="J61" s="122">
        <v>0</v>
      </c>
      <c r="K61" s="122">
        <v>0</v>
      </c>
      <c r="L61" s="122">
        <v>38</v>
      </c>
      <c r="M61" s="122">
        <v>54</v>
      </c>
      <c r="N61" s="122">
        <v>0</v>
      </c>
      <c r="O61" s="122">
        <v>0</v>
      </c>
      <c r="P61" s="122">
        <v>0</v>
      </c>
      <c r="Q61" s="122">
        <v>0</v>
      </c>
      <c r="R61" s="122">
        <v>0</v>
      </c>
    </row>
    <row r="62" spans="1:18" s="124" customFormat="1" x14ac:dyDescent="0.25">
      <c r="A62" s="121" t="s">
        <v>37</v>
      </c>
      <c r="B62" s="122">
        <v>30</v>
      </c>
      <c r="C62" s="123">
        <v>34</v>
      </c>
      <c r="D62" s="123">
        <v>2.1</v>
      </c>
      <c r="E62" s="122">
        <v>4</v>
      </c>
      <c r="F62" s="123">
        <v>1.72</v>
      </c>
      <c r="G62" s="122">
        <v>2</v>
      </c>
      <c r="H62" s="123">
        <v>2.13</v>
      </c>
      <c r="I62" s="122">
        <v>0</v>
      </c>
      <c r="J62" s="122">
        <v>0</v>
      </c>
      <c r="K62" s="122">
        <v>0</v>
      </c>
      <c r="L62" s="122">
        <v>40</v>
      </c>
      <c r="M62" s="122">
        <v>56</v>
      </c>
      <c r="N62" s="122">
        <v>0</v>
      </c>
      <c r="O62" s="122">
        <v>0</v>
      </c>
      <c r="P62" s="122">
        <v>0</v>
      </c>
      <c r="Q62" s="122">
        <v>0</v>
      </c>
      <c r="R62" s="122">
        <v>0</v>
      </c>
    </row>
    <row r="63" spans="1:18" s="124" customFormat="1" x14ac:dyDescent="0.25">
      <c r="A63" s="121" t="s">
        <v>298</v>
      </c>
      <c r="B63" s="123">
        <v>30</v>
      </c>
      <c r="C63" s="123">
        <v>34</v>
      </c>
      <c r="D63" s="123">
        <v>1.38</v>
      </c>
      <c r="E63" s="123">
        <v>6</v>
      </c>
      <c r="F63" s="123">
        <v>1.72</v>
      </c>
      <c r="G63" s="123">
        <v>2</v>
      </c>
      <c r="H63" s="123">
        <v>1.41</v>
      </c>
      <c r="I63" s="123">
        <v>0</v>
      </c>
      <c r="J63" s="123">
        <v>0</v>
      </c>
      <c r="K63" s="123">
        <v>0</v>
      </c>
      <c r="L63" s="123">
        <v>60</v>
      </c>
      <c r="M63" s="123">
        <v>76</v>
      </c>
      <c r="N63" s="125">
        <v>15</v>
      </c>
      <c r="O63" s="125">
        <v>17</v>
      </c>
      <c r="P63" s="125">
        <v>1.88</v>
      </c>
      <c r="Q63" s="125">
        <v>1</v>
      </c>
      <c r="R63" s="125">
        <v>1.91</v>
      </c>
    </row>
    <row r="64" spans="1:18" s="124" customFormat="1" x14ac:dyDescent="0.25">
      <c r="A64" s="121" t="s">
        <v>299</v>
      </c>
      <c r="B64" s="123">
        <v>15</v>
      </c>
      <c r="C64" s="123">
        <v>17</v>
      </c>
      <c r="D64" s="123">
        <v>1.38</v>
      </c>
      <c r="E64" s="123">
        <v>6</v>
      </c>
      <c r="F64" s="123">
        <v>1.72</v>
      </c>
      <c r="G64" s="123">
        <v>1</v>
      </c>
      <c r="H64" s="123">
        <v>1.41</v>
      </c>
      <c r="I64" s="123">
        <v>0</v>
      </c>
      <c r="J64" s="123">
        <v>0</v>
      </c>
      <c r="K64" s="123">
        <v>0</v>
      </c>
      <c r="L64" s="123">
        <v>60</v>
      </c>
      <c r="M64" s="123">
        <v>76</v>
      </c>
      <c r="N64" s="125">
        <v>30</v>
      </c>
      <c r="O64" s="125">
        <v>34</v>
      </c>
      <c r="P64" s="125">
        <v>1.88</v>
      </c>
      <c r="Q64" s="125">
        <v>2</v>
      </c>
      <c r="R64" s="125">
        <v>1.91</v>
      </c>
    </row>
    <row r="65" spans="1:18" s="124" customFormat="1" x14ac:dyDescent="0.25">
      <c r="A65" s="121" t="s">
        <v>300</v>
      </c>
      <c r="B65" s="123">
        <v>45</v>
      </c>
      <c r="C65" s="123">
        <v>51</v>
      </c>
      <c r="D65" s="123">
        <v>1.88</v>
      </c>
      <c r="E65" s="123">
        <v>6</v>
      </c>
      <c r="F65" s="123">
        <v>1.72</v>
      </c>
      <c r="G65" s="123">
        <v>3</v>
      </c>
      <c r="H65" s="123">
        <v>1.91</v>
      </c>
      <c r="I65" s="123">
        <v>0</v>
      </c>
      <c r="J65" s="123">
        <v>0</v>
      </c>
      <c r="K65" s="123">
        <v>0</v>
      </c>
      <c r="L65" s="123">
        <v>60</v>
      </c>
      <c r="M65" s="123">
        <v>76</v>
      </c>
      <c r="N65" s="122">
        <v>0</v>
      </c>
      <c r="O65" s="125">
        <v>0</v>
      </c>
      <c r="P65" s="125">
        <v>0</v>
      </c>
      <c r="Q65" s="122">
        <v>0</v>
      </c>
      <c r="R65" s="122">
        <v>0</v>
      </c>
    </row>
    <row r="66" spans="1:18" s="124" customFormat="1" x14ac:dyDescent="0.25">
      <c r="A66" s="121"/>
      <c r="B66" s="122"/>
      <c r="C66" s="123"/>
      <c r="D66" s="123"/>
      <c r="E66" s="122"/>
      <c r="F66" s="123"/>
      <c r="G66" s="122"/>
      <c r="H66" s="123"/>
      <c r="I66" s="122"/>
      <c r="J66" s="122"/>
      <c r="K66" s="122"/>
      <c r="L66" s="122"/>
      <c r="M66" s="122"/>
      <c r="N66" s="122"/>
      <c r="O66" s="122"/>
      <c r="P66" s="122"/>
      <c r="Q66" s="122"/>
      <c r="R66" s="122"/>
    </row>
    <row r="67" spans="1:18" s="124" customFormat="1" x14ac:dyDescent="0.25">
      <c r="A67" s="121"/>
      <c r="B67" s="122"/>
      <c r="C67" s="123"/>
      <c r="D67" s="123"/>
      <c r="E67" s="122"/>
      <c r="F67" s="123"/>
      <c r="G67" s="122"/>
      <c r="H67" s="123"/>
      <c r="I67" s="122"/>
      <c r="J67" s="122"/>
      <c r="K67" s="122"/>
      <c r="L67" s="122"/>
      <c r="M67" s="122"/>
      <c r="N67" s="122"/>
      <c r="O67" s="122"/>
      <c r="P67" s="122"/>
      <c r="Q67" s="122"/>
      <c r="R67" s="122"/>
    </row>
    <row r="68" spans="1:18" x14ac:dyDescent="0.25">
      <c r="A68" s="117"/>
      <c r="B68" s="118"/>
      <c r="C68" s="119"/>
      <c r="D68" s="119"/>
      <c r="E68" s="118"/>
      <c r="F68" s="119"/>
      <c r="G68" s="118"/>
      <c r="H68" s="119"/>
      <c r="I68" s="118"/>
      <c r="J68" s="118"/>
      <c r="K68" s="118"/>
      <c r="L68" s="118"/>
      <c r="M68" s="118"/>
      <c r="N68" s="118"/>
      <c r="O68" s="118"/>
      <c r="P68" s="118"/>
      <c r="Q68" s="118"/>
      <c r="R68" s="118"/>
    </row>
    <row r="70" spans="1:18" x14ac:dyDescent="0.25">
      <c r="A70" s="146"/>
      <c r="B70" s="147"/>
      <c r="C70" s="148"/>
      <c r="D70" s="148"/>
      <c r="E70" s="147"/>
      <c r="F70" s="148"/>
      <c r="G70" s="147"/>
      <c r="H70" s="148"/>
      <c r="I70" s="147"/>
      <c r="J70" s="147"/>
      <c r="K70" s="147"/>
      <c r="L70" s="147"/>
      <c r="M70" s="147"/>
      <c r="N70" s="147"/>
      <c r="O70" s="147"/>
      <c r="P70" s="147"/>
      <c r="Q70" s="147"/>
      <c r="R70" s="147"/>
    </row>
    <row r="71" spans="1:18" x14ac:dyDescent="0.25">
      <c r="A71" s="146"/>
      <c r="B71" s="147"/>
      <c r="C71" s="148"/>
      <c r="D71" s="148"/>
      <c r="E71" s="147"/>
      <c r="F71" s="148"/>
      <c r="G71" s="147"/>
      <c r="H71" s="148"/>
      <c r="I71" s="147"/>
      <c r="J71" s="147"/>
      <c r="K71" s="147"/>
      <c r="L71" s="147"/>
      <c r="M71" s="147"/>
      <c r="N71" s="147"/>
      <c r="O71" s="147"/>
      <c r="P71" s="147"/>
      <c r="Q71" s="147"/>
      <c r="R71" s="147"/>
    </row>
    <row r="72" spans="1:18" x14ac:dyDescent="0.25">
      <c r="A72" s="146"/>
      <c r="B72" s="147"/>
      <c r="C72" s="148"/>
      <c r="D72" s="148"/>
      <c r="E72" s="147"/>
      <c r="F72" s="148"/>
      <c r="G72" s="147"/>
      <c r="H72" s="148"/>
      <c r="I72" s="147"/>
      <c r="J72" s="147"/>
      <c r="K72" s="147"/>
      <c r="L72" s="147"/>
      <c r="M72" s="147"/>
      <c r="N72" s="147"/>
      <c r="O72" s="147"/>
      <c r="P72" s="147"/>
      <c r="Q72" s="147"/>
      <c r="R72" s="147"/>
    </row>
    <row r="73" spans="1:18" x14ac:dyDescent="0.25">
      <c r="A73" s="146"/>
      <c r="B73" s="147"/>
      <c r="C73" s="148"/>
      <c r="D73" s="148"/>
      <c r="E73" s="147"/>
      <c r="F73" s="148"/>
      <c r="G73" s="147"/>
      <c r="H73" s="148"/>
      <c r="I73" s="147"/>
      <c r="J73" s="147"/>
      <c r="K73" s="147"/>
      <c r="L73" s="147"/>
      <c r="M73" s="147"/>
      <c r="N73" s="147"/>
      <c r="O73" s="147"/>
      <c r="P73" s="147"/>
      <c r="Q73" s="147"/>
      <c r="R73" s="147"/>
    </row>
    <row r="76" spans="1:18" ht="18.75" x14ac:dyDescent="0.3">
      <c r="A76" s="105" t="s">
        <v>122</v>
      </c>
      <c r="J76" s="6"/>
      <c r="K76" s="6"/>
      <c r="L76" s="6"/>
      <c r="M76" s="6"/>
    </row>
    <row r="77" spans="1:18" x14ac:dyDescent="0.25">
      <c r="A77" s="48"/>
      <c r="J77" s="14"/>
      <c r="K77" s="14"/>
      <c r="L77" s="14"/>
      <c r="M77" s="14"/>
    </row>
    <row r="78" spans="1:18" x14ac:dyDescent="0.25">
      <c r="A78" s="66" t="s">
        <v>147</v>
      </c>
      <c r="J78" s="14"/>
      <c r="L78" s="14"/>
      <c r="M78" s="14"/>
    </row>
    <row r="79" spans="1:18" x14ac:dyDescent="0.25">
      <c r="A79" s="66" t="s">
        <v>118</v>
      </c>
      <c r="J79" s="14"/>
      <c r="L79" s="14"/>
      <c r="M79" s="14"/>
    </row>
    <row r="80" spans="1:18" x14ac:dyDescent="0.25">
      <c r="A80" s="67"/>
      <c r="J80" s="14"/>
      <c r="L80" s="14"/>
      <c r="M80" s="14"/>
    </row>
    <row r="81" spans="1:13" x14ac:dyDescent="0.25">
      <c r="A81" s="66" t="s">
        <v>10</v>
      </c>
      <c r="J81" s="14"/>
      <c r="L81" s="14"/>
      <c r="M81" s="14"/>
    </row>
    <row r="82" spans="1:13" x14ac:dyDescent="0.25">
      <c r="A82" s="66" t="s">
        <v>148</v>
      </c>
      <c r="J82" s="14"/>
      <c r="K82" s="14"/>
      <c r="L82" s="14"/>
      <c r="M82" s="14"/>
    </row>
    <row r="83" spans="1:13" x14ac:dyDescent="0.25">
      <c r="A83" s="66" t="s">
        <v>149</v>
      </c>
      <c r="J83" s="14"/>
      <c r="K83" s="14"/>
      <c r="L83" s="14"/>
      <c r="M83" s="14"/>
    </row>
    <row r="84" spans="1:13" x14ac:dyDescent="0.25">
      <c r="A84" s="48"/>
      <c r="J84" s="14"/>
      <c r="K84" s="14"/>
      <c r="L84" s="14"/>
      <c r="M84" s="14"/>
    </row>
    <row r="85" spans="1:13" x14ac:dyDescent="0.25">
      <c r="A85" s="48"/>
      <c r="J85" s="14"/>
      <c r="K85" s="14"/>
      <c r="L85" s="14"/>
      <c r="M85" s="14"/>
    </row>
    <row r="86" spans="1:13" x14ac:dyDescent="0.25">
      <c r="A86" s="51">
        <v>1</v>
      </c>
      <c r="B86" s="51">
        <v>2</v>
      </c>
      <c r="C86" s="51">
        <v>3</v>
      </c>
      <c r="D86" s="51">
        <v>4</v>
      </c>
      <c r="E86" s="51">
        <v>5</v>
      </c>
      <c r="F86" s="51">
        <v>6</v>
      </c>
      <c r="G86" s="51">
        <v>7</v>
      </c>
      <c r="I86" t="s">
        <v>212</v>
      </c>
    </row>
    <row r="87" spans="1:13" ht="25.5" x14ac:dyDescent="0.25">
      <c r="A87" s="195" t="s">
        <v>70</v>
      </c>
      <c r="B87" s="195" t="s">
        <v>71</v>
      </c>
      <c r="C87" s="195" t="s">
        <v>72</v>
      </c>
      <c r="D87" s="62" t="s">
        <v>73</v>
      </c>
      <c r="E87" s="62" t="s">
        <v>74</v>
      </c>
      <c r="F87" s="62" t="s">
        <v>73</v>
      </c>
      <c r="G87" s="62" t="s">
        <v>74</v>
      </c>
      <c r="I87" s="62" t="s">
        <v>211</v>
      </c>
      <c r="J87" s="62" t="s">
        <v>213</v>
      </c>
      <c r="K87" s="62" t="s">
        <v>214</v>
      </c>
      <c r="L87" s="62" t="s">
        <v>215</v>
      </c>
    </row>
    <row r="88" spans="1:13" x14ac:dyDescent="0.25">
      <c r="A88" s="195"/>
      <c r="B88" s="195"/>
      <c r="C88" s="195"/>
      <c r="D88" s="195" t="s">
        <v>75</v>
      </c>
      <c r="E88" s="195"/>
      <c r="F88" s="195" t="s">
        <v>76</v>
      </c>
      <c r="G88" s="195"/>
      <c r="I88" s="65">
        <v>125</v>
      </c>
      <c r="J88" s="65">
        <v>2.04</v>
      </c>
      <c r="K88" s="65">
        <v>25</v>
      </c>
      <c r="L88" s="65">
        <v>13</v>
      </c>
    </row>
    <row r="89" spans="1:13" x14ac:dyDescent="0.25">
      <c r="A89" s="64">
        <v>0</v>
      </c>
      <c r="B89" s="23">
        <v>0</v>
      </c>
      <c r="C89" s="23" t="s">
        <v>10</v>
      </c>
      <c r="D89" s="23">
        <v>0</v>
      </c>
      <c r="E89" s="23" t="s">
        <v>10</v>
      </c>
      <c r="F89" s="23">
        <v>0</v>
      </c>
      <c r="G89" s="23" t="s">
        <v>10</v>
      </c>
      <c r="I89" s="65">
        <v>150</v>
      </c>
      <c r="J89" s="65">
        <v>2.11</v>
      </c>
      <c r="K89" s="65">
        <v>50</v>
      </c>
      <c r="L89" s="65">
        <v>10</v>
      </c>
    </row>
    <row r="90" spans="1:13" x14ac:dyDescent="0.25">
      <c r="A90" s="64">
        <v>1</v>
      </c>
      <c r="B90" s="23">
        <v>6</v>
      </c>
      <c r="C90" s="23">
        <v>41.7</v>
      </c>
      <c r="D90" s="23">
        <v>5</v>
      </c>
      <c r="E90" s="23">
        <v>50</v>
      </c>
      <c r="F90" s="23">
        <v>5</v>
      </c>
      <c r="G90" s="23">
        <v>50</v>
      </c>
    </row>
    <row r="91" spans="1:13" x14ac:dyDescent="0.25">
      <c r="A91" s="64">
        <v>1.05</v>
      </c>
      <c r="B91" s="23">
        <v>7</v>
      </c>
      <c r="C91" s="23">
        <v>25</v>
      </c>
      <c r="D91" s="23">
        <v>6</v>
      </c>
      <c r="E91" s="23">
        <v>25</v>
      </c>
      <c r="F91" s="23">
        <v>5</v>
      </c>
      <c r="G91" s="23">
        <v>60</v>
      </c>
    </row>
    <row r="92" spans="1:13" x14ac:dyDescent="0.25">
      <c r="A92" s="64">
        <v>1.1000000000000001</v>
      </c>
      <c r="B92" s="23">
        <v>7</v>
      </c>
      <c r="C92" s="23">
        <v>32.1</v>
      </c>
      <c r="D92" s="23">
        <v>6</v>
      </c>
      <c r="E92" s="23">
        <v>33.299999999999997</v>
      </c>
      <c r="F92" s="23">
        <v>5</v>
      </c>
      <c r="G92" s="23">
        <v>70</v>
      </c>
    </row>
    <row r="93" spans="1:13" x14ac:dyDescent="0.25">
      <c r="A93" s="64">
        <v>1.1499999999999999</v>
      </c>
      <c r="B93" s="23">
        <v>7</v>
      </c>
      <c r="C93" s="23">
        <v>39.299999999999997</v>
      </c>
      <c r="D93" s="23">
        <v>6</v>
      </c>
      <c r="E93" s="23">
        <v>41.7</v>
      </c>
      <c r="F93" s="23">
        <v>5</v>
      </c>
      <c r="G93" s="23">
        <v>80</v>
      </c>
    </row>
    <row r="94" spans="1:13" x14ac:dyDescent="0.25">
      <c r="A94" s="64">
        <v>1.2</v>
      </c>
      <c r="B94" s="23">
        <v>8</v>
      </c>
      <c r="C94" s="23">
        <v>25</v>
      </c>
      <c r="D94" s="23">
        <v>6</v>
      </c>
      <c r="E94" s="23">
        <v>50</v>
      </c>
      <c r="F94" s="23">
        <v>6</v>
      </c>
      <c r="G94" s="23">
        <v>50</v>
      </c>
    </row>
    <row r="95" spans="1:13" x14ac:dyDescent="0.25">
      <c r="A95" s="64">
        <v>1.25</v>
      </c>
      <c r="B95" s="23">
        <v>8</v>
      </c>
      <c r="C95" s="23">
        <v>31.3</v>
      </c>
      <c r="D95" s="23">
        <v>7</v>
      </c>
      <c r="E95" s="23">
        <v>28.6</v>
      </c>
      <c r="F95" s="23">
        <v>6</v>
      </c>
      <c r="G95" s="23">
        <v>58.3</v>
      </c>
    </row>
    <row r="96" spans="1:13" x14ac:dyDescent="0.25">
      <c r="A96" s="64">
        <v>1.3</v>
      </c>
      <c r="B96" s="23">
        <v>8</v>
      </c>
      <c r="C96" s="23">
        <v>37.5</v>
      </c>
      <c r="D96" s="23">
        <v>7</v>
      </c>
      <c r="E96" s="23">
        <v>35.700000000000003</v>
      </c>
      <c r="F96" s="23">
        <v>6</v>
      </c>
      <c r="G96" s="23">
        <v>66.7</v>
      </c>
    </row>
    <row r="97" spans="1:7" x14ac:dyDescent="0.25">
      <c r="A97" s="64">
        <v>1.35</v>
      </c>
      <c r="B97" s="23">
        <v>9</v>
      </c>
      <c r="C97" s="23">
        <v>25</v>
      </c>
      <c r="D97" s="23">
        <v>7</v>
      </c>
      <c r="E97" s="23">
        <v>42.9</v>
      </c>
      <c r="F97" s="23">
        <v>6</v>
      </c>
      <c r="G97" s="23">
        <v>75</v>
      </c>
    </row>
    <row r="98" spans="1:7" x14ac:dyDescent="0.25">
      <c r="A98" s="64">
        <v>1.4</v>
      </c>
      <c r="B98" s="23">
        <v>9</v>
      </c>
      <c r="C98" s="23">
        <v>30.6</v>
      </c>
      <c r="D98" s="23">
        <v>8</v>
      </c>
      <c r="E98" s="23">
        <v>25</v>
      </c>
      <c r="F98" s="23">
        <v>7</v>
      </c>
      <c r="G98" s="23">
        <v>50</v>
      </c>
    </row>
    <row r="99" spans="1:7" x14ac:dyDescent="0.25">
      <c r="A99" s="64">
        <v>1.45</v>
      </c>
      <c r="B99" s="23">
        <v>9</v>
      </c>
      <c r="C99" s="23">
        <v>36.1</v>
      </c>
      <c r="D99" s="23">
        <v>8</v>
      </c>
      <c r="E99" s="23">
        <v>31.3</v>
      </c>
      <c r="F99" s="23">
        <v>7</v>
      </c>
      <c r="G99" s="23">
        <v>57.1</v>
      </c>
    </row>
    <row r="100" spans="1:7" x14ac:dyDescent="0.25">
      <c r="A100" s="64">
        <v>1.5</v>
      </c>
      <c r="B100" s="23">
        <v>10</v>
      </c>
      <c r="C100" s="23">
        <v>25</v>
      </c>
      <c r="D100" s="23">
        <v>8</v>
      </c>
      <c r="E100" s="23">
        <v>37.5</v>
      </c>
      <c r="F100" s="23">
        <v>7</v>
      </c>
      <c r="G100" s="23">
        <v>64.3</v>
      </c>
    </row>
    <row r="101" spans="1:7" x14ac:dyDescent="0.25">
      <c r="A101" s="64">
        <v>1.55</v>
      </c>
      <c r="B101" s="23">
        <v>10</v>
      </c>
      <c r="C101" s="23">
        <v>30</v>
      </c>
      <c r="D101" s="23">
        <v>8</v>
      </c>
      <c r="E101" s="23">
        <v>43.8</v>
      </c>
      <c r="F101" s="23">
        <v>7</v>
      </c>
      <c r="G101" s="23">
        <v>71.400000000000006</v>
      </c>
    </row>
    <row r="102" spans="1:7" x14ac:dyDescent="0.25">
      <c r="A102" s="64">
        <v>1.6</v>
      </c>
      <c r="B102" s="23">
        <v>10</v>
      </c>
      <c r="C102" s="23">
        <v>35</v>
      </c>
      <c r="D102" s="23">
        <v>9</v>
      </c>
      <c r="E102" s="23">
        <v>27.8</v>
      </c>
      <c r="F102" s="23">
        <v>8</v>
      </c>
      <c r="G102" s="23">
        <v>50</v>
      </c>
    </row>
    <row r="103" spans="1:7" x14ac:dyDescent="0.25">
      <c r="A103" s="64">
        <v>1.65</v>
      </c>
      <c r="B103" s="23">
        <v>11</v>
      </c>
      <c r="C103" s="23">
        <v>25</v>
      </c>
      <c r="D103" s="23">
        <v>9</v>
      </c>
      <c r="E103" s="23">
        <v>33.299999999999997</v>
      </c>
      <c r="F103" s="23">
        <v>8</v>
      </c>
      <c r="G103" s="23">
        <v>56.3</v>
      </c>
    </row>
    <row r="104" spans="1:7" x14ac:dyDescent="0.25">
      <c r="A104" s="64">
        <v>1.7</v>
      </c>
      <c r="B104" s="23">
        <v>11</v>
      </c>
      <c r="C104" s="23">
        <v>29.5</v>
      </c>
      <c r="D104" s="23">
        <v>9</v>
      </c>
      <c r="E104" s="23">
        <v>38.9</v>
      </c>
      <c r="F104" s="23">
        <v>8</v>
      </c>
      <c r="G104" s="23">
        <v>62.5</v>
      </c>
    </row>
    <row r="105" spans="1:7" x14ac:dyDescent="0.25">
      <c r="A105" s="64">
        <v>1.75</v>
      </c>
      <c r="B105" s="23">
        <v>11</v>
      </c>
      <c r="C105" s="23">
        <v>34.1</v>
      </c>
      <c r="D105" s="23">
        <v>10</v>
      </c>
      <c r="E105" s="23">
        <v>25</v>
      </c>
      <c r="F105" s="23">
        <v>8</v>
      </c>
      <c r="G105" s="23">
        <v>68.8</v>
      </c>
    </row>
    <row r="106" spans="1:7" x14ac:dyDescent="0.25">
      <c r="A106" s="64">
        <v>1.8</v>
      </c>
      <c r="B106" s="23">
        <v>12</v>
      </c>
      <c r="C106" s="23">
        <v>25</v>
      </c>
      <c r="D106" s="23">
        <v>10</v>
      </c>
      <c r="E106" s="23">
        <v>30</v>
      </c>
      <c r="F106" s="23">
        <v>9</v>
      </c>
      <c r="G106" s="23">
        <v>50</v>
      </c>
    </row>
    <row r="107" spans="1:7" x14ac:dyDescent="0.25">
      <c r="A107" s="64">
        <v>1.85</v>
      </c>
      <c r="B107" s="23">
        <v>12</v>
      </c>
      <c r="C107" s="23">
        <v>29.2</v>
      </c>
      <c r="D107" s="23">
        <v>10</v>
      </c>
      <c r="E107" s="23">
        <v>35</v>
      </c>
      <c r="F107" s="23">
        <v>9</v>
      </c>
      <c r="G107" s="23">
        <v>55.6</v>
      </c>
    </row>
    <row r="108" spans="1:7" x14ac:dyDescent="0.25">
      <c r="A108" s="64">
        <v>1.9</v>
      </c>
      <c r="B108" s="23">
        <v>12</v>
      </c>
      <c r="C108" s="23">
        <v>33.299999999999997</v>
      </c>
      <c r="D108" s="23">
        <v>10</v>
      </c>
      <c r="E108" s="23">
        <v>40</v>
      </c>
      <c r="F108" s="23">
        <v>9</v>
      </c>
      <c r="G108" s="23">
        <v>61.1</v>
      </c>
    </row>
    <row r="109" spans="1:7" x14ac:dyDescent="0.25">
      <c r="A109" s="64">
        <v>1.95</v>
      </c>
      <c r="B109" s="23">
        <v>13</v>
      </c>
      <c r="C109" s="23">
        <v>25</v>
      </c>
      <c r="D109" s="23">
        <v>11</v>
      </c>
      <c r="E109" s="23">
        <v>27.3</v>
      </c>
      <c r="F109" s="23">
        <v>9</v>
      </c>
      <c r="G109" s="23">
        <v>66.7</v>
      </c>
    </row>
    <row r="110" spans="1:7" x14ac:dyDescent="0.25">
      <c r="A110" s="64">
        <v>2</v>
      </c>
      <c r="B110" s="23">
        <v>13</v>
      </c>
      <c r="C110" s="23">
        <v>28.8</v>
      </c>
      <c r="D110" s="23">
        <v>11</v>
      </c>
      <c r="E110" s="23">
        <v>31.8</v>
      </c>
      <c r="F110" s="23">
        <v>10</v>
      </c>
      <c r="G110" s="23">
        <v>50</v>
      </c>
    </row>
    <row r="111" spans="1:7" x14ac:dyDescent="0.25">
      <c r="A111" s="64">
        <v>2.0499999999999998</v>
      </c>
      <c r="B111" s="23">
        <v>13</v>
      </c>
      <c r="C111" s="23">
        <v>32.700000000000003</v>
      </c>
      <c r="D111" s="23">
        <v>11</v>
      </c>
      <c r="E111" s="23">
        <v>36.4</v>
      </c>
      <c r="F111" s="23">
        <v>10</v>
      </c>
      <c r="G111" s="23">
        <v>55</v>
      </c>
    </row>
    <row r="112" spans="1:7" x14ac:dyDescent="0.25">
      <c r="A112" s="64">
        <v>2.1</v>
      </c>
      <c r="B112" s="23">
        <v>14</v>
      </c>
      <c r="C112" s="23">
        <v>25</v>
      </c>
      <c r="D112" s="23">
        <v>12</v>
      </c>
      <c r="E112" s="23">
        <v>25</v>
      </c>
      <c r="F112" s="23">
        <v>10</v>
      </c>
      <c r="G112" s="23">
        <v>60</v>
      </c>
    </row>
    <row r="113" spans="1:7" x14ac:dyDescent="0.25">
      <c r="A113" s="64">
        <v>2.15</v>
      </c>
      <c r="B113" s="23">
        <v>14</v>
      </c>
      <c r="C113" s="23">
        <v>28.6</v>
      </c>
      <c r="D113" s="23">
        <v>12</v>
      </c>
      <c r="E113" s="23">
        <v>29.2</v>
      </c>
      <c r="F113" s="23">
        <v>10</v>
      </c>
      <c r="G113" s="23">
        <v>65</v>
      </c>
    </row>
    <row r="114" spans="1:7" x14ac:dyDescent="0.25">
      <c r="A114" s="64">
        <v>2.2000000000000002</v>
      </c>
      <c r="B114" s="23">
        <v>14</v>
      </c>
      <c r="C114" s="23">
        <v>32.1</v>
      </c>
      <c r="D114" s="23">
        <v>12</v>
      </c>
      <c r="E114" s="23">
        <v>33.299999999999997</v>
      </c>
      <c r="F114" s="23">
        <v>11</v>
      </c>
      <c r="G114" s="23">
        <v>50</v>
      </c>
    </row>
    <row r="115" spans="1:7" x14ac:dyDescent="0.25">
      <c r="A115" s="64">
        <v>2.25</v>
      </c>
      <c r="B115" s="23">
        <v>15</v>
      </c>
      <c r="C115" s="23">
        <v>25</v>
      </c>
      <c r="D115" s="23">
        <v>12</v>
      </c>
      <c r="E115" s="23">
        <v>37.5</v>
      </c>
      <c r="F115" s="23">
        <v>11</v>
      </c>
      <c r="G115" s="23">
        <v>54.5</v>
      </c>
    </row>
    <row r="116" spans="1:7" x14ac:dyDescent="0.25">
      <c r="A116" s="64">
        <v>2.2999999999999998</v>
      </c>
      <c r="B116" s="23">
        <v>15</v>
      </c>
      <c r="C116" s="23">
        <v>28.3</v>
      </c>
      <c r="D116" s="23">
        <v>13</v>
      </c>
      <c r="E116" s="23">
        <v>26.9</v>
      </c>
      <c r="F116" s="23">
        <v>11</v>
      </c>
      <c r="G116" s="23">
        <v>59.1</v>
      </c>
    </row>
    <row r="117" spans="1:7" x14ac:dyDescent="0.25">
      <c r="A117" s="64">
        <v>2.35</v>
      </c>
      <c r="B117" s="23">
        <v>15</v>
      </c>
      <c r="C117" s="23">
        <v>31.7</v>
      </c>
      <c r="D117" s="23">
        <v>13</v>
      </c>
      <c r="E117" s="23">
        <v>30.8</v>
      </c>
      <c r="F117" s="23">
        <v>11</v>
      </c>
      <c r="G117" s="23">
        <v>63.6</v>
      </c>
    </row>
    <row r="118" spans="1:7" x14ac:dyDescent="0.25">
      <c r="A118" s="64">
        <v>2.4</v>
      </c>
      <c r="B118" s="23">
        <v>16</v>
      </c>
      <c r="C118" s="23">
        <v>25</v>
      </c>
      <c r="D118" s="23">
        <v>13</v>
      </c>
      <c r="E118" s="23">
        <v>34.6</v>
      </c>
      <c r="F118" s="23">
        <v>12</v>
      </c>
      <c r="G118" s="23">
        <v>50</v>
      </c>
    </row>
    <row r="119" spans="1:7" x14ac:dyDescent="0.25">
      <c r="A119" s="64">
        <v>2.4500000000000002</v>
      </c>
      <c r="B119" s="23">
        <v>16</v>
      </c>
      <c r="C119" s="23">
        <v>28.1</v>
      </c>
      <c r="D119" s="23">
        <v>14</v>
      </c>
      <c r="E119" s="23">
        <v>25</v>
      </c>
      <c r="F119" s="23">
        <v>12</v>
      </c>
      <c r="G119" s="23">
        <v>54.2</v>
      </c>
    </row>
    <row r="120" spans="1:7" x14ac:dyDescent="0.25">
      <c r="A120" s="64">
        <v>2.5</v>
      </c>
      <c r="B120" s="23">
        <v>16</v>
      </c>
      <c r="C120" s="23">
        <v>31.3</v>
      </c>
      <c r="D120" s="23">
        <v>14</v>
      </c>
      <c r="E120" s="23">
        <v>28.6</v>
      </c>
      <c r="F120" s="23">
        <v>12</v>
      </c>
      <c r="G120" s="23">
        <v>58.3</v>
      </c>
    </row>
    <row r="121" spans="1:7" x14ac:dyDescent="0.25">
      <c r="A121" s="64">
        <v>2.5499999999999998</v>
      </c>
      <c r="B121" s="23">
        <v>17</v>
      </c>
      <c r="C121" s="23">
        <v>25</v>
      </c>
      <c r="D121" s="23">
        <v>14</v>
      </c>
      <c r="E121" s="23">
        <v>32.1</v>
      </c>
      <c r="F121" s="23">
        <v>12</v>
      </c>
      <c r="G121" s="23">
        <v>62.5</v>
      </c>
    </row>
    <row r="122" spans="1:7" x14ac:dyDescent="0.25">
      <c r="A122" s="64">
        <v>2.6</v>
      </c>
      <c r="B122" s="23">
        <v>17</v>
      </c>
      <c r="C122" s="23">
        <v>27.9</v>
      </c>
      <c r="D122" s="23">
        <v>14</v>
      </c>
      <c r="E122" s="23">
        <v>35.700000000000003</v>
      </c>
      <c r="F122" s="23">
        <v>13</v>
      </c>
      <c r="G122" s="23">
        <v>50</v>
      </c>
    </row>
    <row r="123" spans="1:7" x14ac:dyDescent="0.25">
      <c r="A123" s="64">
        <v>2.65</v>
      </c>
      <c r="B123" s="23">
        <v>17</v>
      </c>
      <c r="C123" s="23">
        <v>30.9</v>
      </c>
      <c r="D123" s="23">
        <v>15</v>
      </c>
      <c r="E123" s="23">
        <v>26.7</v>
      </c>
      <c r="F123" s="23">
        <v>13</v>
      </c>
      <c r="G123" s="23">
        <v>53.8</v>
      </c>
    </row>
    <row r="124" spans="1:7" x14ac:dyDescent="0.25">
      <c r="A124" s="64">
        <v>2.7</v>
      </c>
      <c r="B124" s="23">
        <v>18</v>
      </c>
      <c r="C124" s="23">
        <v>25</v>
      </c>
      <c r="D124" s="23">
        <v>15</v>
      </c>
      <c r="E124" s="23">
        <v>30</v>
      </c>
      <c r="F124" s="23">
        <v>13</v>
      </c>
      <c r="G124" s="23">
        <v>57.7</v>
      </c>
    </row>
    <row r="125" spans="1:7" x14ac:dyDescent="0.25">
      <c r="A125" s="64">
        <v>2.75</v>
      </c>
      <c r="B125" s="23">
        <v>18</v>
      </c>
      <c r="C125" s="23">
        <v>27.8</v>
      </c>
      <c r="D125" s="23">
        <v>15</v>
      </c>
      <c r="E125" s="23">
        <v>33.299999999999997</v>
      </c>
      <c r="F125" s="23">
        <v>13</v>
      </c>
      <c r="G125" s="23">
        <v>61.5</v>
      </c>
    </row>
    <row r="126" spans="1:7" x14ac:dyDescent="0.25">
      <c r="A126" s="64">
        <v>2.8</v>
      </c>
      <c r="B126" s="23">
        <v>18</v>
      </c>
      <c r="C126" s="23">
        <v>30.6</v>
      </c>
      <c r="D126" s="23">
        <v>16</v>
      </c>
      <c r="E126" s="23">
        <v>25</v>
      </c>
      <c r="F126" s="23">
        <v>14</v>
      </c>
      <c r="G126" s="23">
        <v>50</v>
      </c>
    </row>
    <row r="127" spans="1:7" x14ac:dyDescent="0.25">
      <c r="A127" s="64">
        <v>2.85</v>
      </c>
      <c r="B127" s="23">
        <v>19</v>
      </c>
      <c r="C127" s="23">
        <v>25</v>
      </c>
      <c r="D127" s="23">
        <v>16</v>
      </c>
      <c r="E127" s="23">
        <v>28.1</v>
      </c>
      <c r="F127" s="23">
        <v>14</v>
      </c>
      <c r="G127" s="23">
        <v>53.6</v>
      </c>
    </row>
    <row r="128" spans="1:7" x14ac:dyDescent="0.25">
      <c r="A128" s="64">
        <v>2.9</v>
      </c>
      <c r="B128" s="23">
        <v>19</v>
      </c>
      <c r="C128" s="23">
        <v>27.6</v>
      </c>
      <c r="D128" s="23">
        <v>16</v>
      </c>
      <c r="E128" s="23">
        <v>31.3</v>
      </c>
      <c r="F128" s="23">
        <v>14</v>
      </c>
      <c r="G128" s="23">
        <v>57.1</v>
      </c>
    </row>
    <row r="129" spans="1:38" x14ac:dyDescent="0.25">
      <c r="A129" s="64">
        <v>2.95</v>
      </c>
      <c r="B129" s="23">
        <v>19</v>
      </c>
      <c r="C129" s="23">
        <v>30.3</v>
      </c>
      <c r="D129" s="23">
        <v>16</v>
      </c>
      <c r="E129" s="23">
        <v>34.4</v>
      </c>
      <c r="F129" s="23">
        <v>14</v>
      </c>
      <c r="G129" s="23">
        <v>60.7</v>
      </c>
    </row>
    <row r="130" spans="1:38" x14ac:dyDescent="0.25">
      <c r="A130" s="64">
        <v>3</v>
      </c>
      <c r="B130" s="23">
        <v>20</v>
      </c>
      <c r="C130" s="23">
        <v>25</v>
      </c>
      <c r="D130" s="23">
        <v>17</v>
      </c>
      <c r="E130" s="23">
        <v>26.5</v>
      </c>
      <c r="F130" s="23">
        <v>15</v>
      </c>
      <c r="G130" s="23">
        <v>50</v>
      </c>
    </row>
    <row r="132" spans="1:38" x14ac:dyDescent="0.25">
      <c r="A132" s="50">
        <v>1</v>
      </c>
      <c r="B132" s="51">
        <v>2</v>
      </c>
      <c r="C132" s="51">
        <v>3</v>
      </c>
      <c r="D132" s="51">
        <v>4</v>
      </c>
      <c r="E132" s="51">
        <v>5</v>
      </c>
      <c r="F132" s="51">
        <v>6</v>
      </c>
      <c r="G132" s="51">
        <v>7</v>
      </c>
      <c r="H132" s="51">
        <v>8</v>
      </c>
      <c r="I132" s="51">
        <v>9</v>
      </c>
      <c r="J132" s="51">
        <v>10</v>
      </c>
      <c r="K132" s="51">
        <v>11</v>
      </c>
      <c r="L132" s="51">
        <v>12</v>
      </c>
      <c r="M132" s="51">
        <v>13</v>
      </c>
      <c r="N132" s="51">
        <v>14</v>
      </c>
      <c r="O132" s="51">
        <v>15</v>
      </c>
      <c r="P132" s="51">
        <v>16</v>
      </c>
      <c r="Q132" s="51">
        <v>17</v>
      </c>
      <c r="R132" s="51">
        <v>18</v>
      </c>
      <c r="S132" s="51">
        <v>19</v>
      </c>
      <c r="T132" s="51">
        <v>20</v>
      </c>
      <c r="U132" s="51">
        <v>21</v>
      </c>
      <c r="V132" s="51">
        <v>22</v>
      </c>
    </row>
    <row r="133" spans="1:38" ht="51" x14ac:dyDescent="0.25">
      <c r="A133" s="198" t="s">
        <v>86</v>
      </c>
      <c r="B133" s="195" t="s">
        <v>109</v>
      </c>
      <c r="C133" s="195"/>
      <c r="D133" s="195" t="s">
        <v>262</v>
      </c>
      <c r="E133" s="195"/>
      <c r="F133" s="195" t="s">
        <v>110</v>
      </c>
      <c r="G133" s="195"/>
      <c r="H133" s="195" t="s">
        <v>263</v>
      </c>
      <c r="I133" s="195"/>
      <c r="J133" s="62" t="s">
        <v>264</v>
      </c>
      <c r="K133" s="62" t="s">
        <v>265</v>
      </c>
      <c r="L133" s="62" t="s">
        <v>63</v>
      </c>
      <c r="M133" s="62" t="s">
        <v>64</v>
      </c>
      <c r="N133" s="62" t="s">
        <v>111</v>
      </c>
      <c r="O133" s="62" t="s">
        <v>112</v>
      </c>
      <c r="P133" s="62" t="s">
        <v>94</v>
      </c>
      <c r="Q133" s="62" t="s">
        <v>87</v>
      </c>
      <c r="R133" s="62" t="s">
        <v>88</v>
      </c>
      <c r="S133" s="62" t="s">
        <v>89</v>
      </c>
      <c r="T133" s="62" t="s">
        <v>90</v>
      </c>
      <c r="U133" s="62" t="s">
        <v>91</v>
      </c>
      <c r="V133" s="62" t="s">
        <v>92</v>
      </c>
    </row>
    <row r="134" spans="1:38" x14ac:dyDescent="0.25">
      <c r="A134" s="198"/>
      <c r="B134" s="85" t="s">
        <v>146</v>
      </c>
      <c r="C134" s="85" t="s">
        <v>81</v>
      </c>
      <c r="D134" s="85" t="s">
        <v>146</v>
      </c>
      <c r="E134" s="85" t="s">
        <v>81</v>
      </c>
      <c r="F134" s="85" t="s">
        <v>146</v>
      </c>
      <c r="G134" s="85" t="s">
        <v>81</v>
      </c>
      <c r="H134" s="85" t="s">
        <v>146</v>
      </c>
      <c r="I134" s="85" t="s">
        <v>81</v>
      </c>
      <c r="J134" s="85" t="s">
        <v>146</v>
      </c>
      <c r="K134" s="85" t="s">
        <v>146</v>
      </c>
      <c r="L134" s="85" t="s">
        <v>146</v>
      </c>
      <c r="M134" s="85" t="s">
        <v>146</v>
      </c>
      <c r="N134" s="85" t="s">
        <v>81</v>
      </c>
      <c r="O134" s="85" t="s">
        <v>81</v>
      </c>
      <c r="P134" s="85" t="s">
        <v>81</v>
      </c>
      <c r="Q134" s="85" t="s">
        <v>81</v>
      </c>
      <c r="R134" s="85" t="s">
        <v>81</v>
      </c>
      <c r="S134" s="85" t="s">
        <v>81</v>
      </c>
      <c r="T134" s="85" t="s">
        <v>81</v>
      </c>
      <c r="U134" s="85" t="s">
        <v>81</v>
      </c>
      <c r="V134" s="85" t="s">
        <v>81</v>
      </c>
    </row>
    <row r="135" spans="1:38" x14ac:dyDescent="0.25">
      <c r="A135" s="63" t="s">
        <v>45</v>
      </c>
      <c r="B135" s="40" t="s">
        <v>10</v>
      </c>
      <c r="C135" s="46">
        <v>0</v>
      </c>
      <c r="D135" s="40" t="s">
        <v>10</v>
      </c>
      <c r="E135" s="46">
        <v>0</v>
      </c>
      <c r="F135" s="40" t="s">
        <v>10</v>
      </c>
      <c r="G135" s="46">
        <v>0</v>
      </c>
      <c r="H135" s="40" t="s">
        <v>10</v>
      </c>
      <c r="I135" s="46">
        <v>0</v>
      </c>
      <c r="J135" s="40" t="s">
        <v>10</v>
      </c>
      <c r="K135" s="40" t="s">
        <v>10</v>
      </c>
      <c r="L135" s="40" t="s">
        <v>10</v>
      </c>
      <c r="M135" s="40" t="s">
        <v>10</v>
      </c>
      <c r="N135" s="36">
        <v>0</v>
      </c>
      <c r="O135" s="46">
        <v>0</v>
      </c>
      <c r="P135" s="36">
        <v>0</v>
      </c>
      <c r="Q135" s="36">
        <v>0</v>
      </c>
      <c r="R135" s="36">
        <v>0</v>
      </c>
      <c r="S135" s="36">
        <v>0</v>
      </c>
      <c r="T135" s="36">
        <v>0</v>
      </c>
      <c r="U135" s="36">
        <v>0</v>
      </c>
      <c r="V135" s="36">
        <v>0</v>
      </c>
    </row>
    <row r="136" spans="1:38" x14ac:dyDescent="0.25">
      <c r="A136" s="63" t="s">
        <v>78</v>
      </c>
      <c r="B136" s="65">
        <v>0.83</v>
      </c>
      <c r="C136" s="63">
        <v>8</v>
      </c>
      <c r="D136" s="65">
        <v>0.83</v>
      </c>
      <c r="E136" s="63">
        <v>2</v>
      </c>
      <c r="F136" s="65">
        <v>0.83</v>
      </c>
      <c r="G136" s="63">
        <v>5</v>
      </c>
      <c r="H136" s="65">
        <v>0.83</v>
      </c>
      <c r="I136" s="63">
        <v>2</v>
      </c>
      <c r="J136" s="63">
        <v>1.34</v>
      </c>
      <c r="K136" s="63">
        <v>1.3</v>
      </c>
      <c r="L136" s="63">
        <v>0.86</v>
      </c>
      <c r="M136" s="63">
        <v>0.86</v>
      </c>
      <c r="N136" s="63">
        <v>48</v>
      </c>
      <c r="O136" s="63">
        <v>30</v>
      </c>
      <c r="P136" s="63">
        <v>9</v>
      </c>
      <c r="Q136" s="63">
        <v>1</v>
      </c>
      <c r="R136" s="63">
        <v>0</v>
      </c>
      <c r="S136" s="63">
        <v>0</v>
      </c>
      <c r="T136" s="63">
        <v>1</v>
      </c>
      <c r="U136" s="63">
        <v>0</v>
      </c>
      <c r="V136" s="63">
        <v>0</v>
      </c>
    </row>
    <row r="137" spans="1:38" x14ac:dyDescent="0.25">
      <c r="A137" s="63" t="s">
        <v>79</v>
      </c>
      <c r="B137" s="65">
        <v>0.83</v>
      </c>
      <c r="C137" s="63">
        <v>10</v>
      </c>
      <c r="D137" s="65">
        <v>0.83</v>
      </c>
      <c r="E137" s="63">
        <v>2</v>
      </c>
      <c r="F137" s="65">
        <v>0.83</v>
      </c>
      <c r="G137" s="63">
        <v>7</v>
      </c>
      <c r="H137" s="65">
        <v>0.83</v>
      </c>
      <c r="I137" s="63">
        <v>2</v>
      </c>
      <c r="J137" s="63">
        <v>1.64</v>
      </c>
      <c r="K137" s="63">
        <v>1.61</v>
      </c>
      <c r="L137" s="63">
        <v>0.86</v>
      </c>
      <c r="M137" s="63">
        <v>0.86</v>
      </c>
      <c r="N137" s="63">
        <v>60</v>
      </c>
      <c r="O137" s="63">
        <v>42</v>
      </c>
      <c r="P137" s="63">
        <v>9</v>
      </c>
      <c r="Q137" s="63">
        <v>0</v>
      </c>
      <c r="R137" s="63">
        <v>1</v>
      </c>
      <c r="S137" s="63">
        <v>0</v>
      </c>
      <c r="T137" s="63">
        <v>0</v>
      </c>
      <c r="U137" s="63">
        <v>1</v>
      </c>
      <c r="V137" s="63">
        <v>0</v>
      </c>
    </row>
    <row r="138" spans="1:38" x14ac:dyDescent="0.25">
      <c r="A138" s="63" t="s">
        <v>17</v>
      </c>
      <c r="B138" s="65">
        <v>0.83</v>
      </c>
      <c r="C138" s="63">
        <v>11</v>
      </c>
      <c r="D138" s="65">
        <v>0.83</v>
      </c>
      <c r="E138" s="63">
        <v>2</v>
      </c>
      <c r="F138" s="65">
        <v>0.83</v>
      </c>
      <c r="G138" s="63">
        <v>8</v>
      </c>
      <c r="H138" s="65">
        <v>0.83</v>
      </c>
      <c r="I138" s="63">
        <v>2</v>
      </c>
      <c r="J138" s="63">
        <v>1.79</v>
      </c>
      <c r="K138" s="63">
        <v>1.81</v>
      </c>
      <c r="L138" s="63">
        <v>0.86</v>
      </c>
      <c r="M138" s="63">
        <v>0.86</v>
      </c>
      <c r="N138" s="63">
        <v>66</v>
      </c>
      <c r="O138" s="63">
        <v>48</v>
      </c>
      <c r="P138" s="63">
        <v>9</v>
      </c>
      <c r="Q138" s="63">
        <v>0</v>
      </c>
      <c r="R138" s="63">
        <v>0</v>
      </c>
      <c r="S138" s="63">
        <v>1</v>
      </c>
      <c r="T138" s="63">
        <v>0</v>
      </c>
      <c r="U138" s="63">
        <v>0</v>
      </c>
      <c r="V138" s="63">
        <v>1</v>
      </c>
    </row>
    <row r="140" spans="1:38" x14ac:dyDescent="0.25">
      <c r="A140" s="50">
        <v>1</v>
      </c>
      <c r="B140" s="50">
        <v>2</v>
      </c>
      <c r="C140" s="50">
        <v>3</v>
      </c>
      <c r="D140" s="50">
        <v>4</v>
      </c>
      <c r="E140" s="50">
        <v>5</v>
      </c>
      <c r="F140" s="50">
        <v>6</v>
      </c>
      <c r="G140" s="50">
        <v>7</v>
      </c>
      <c r="H140" s="50">
        <v>8</v>
      </c>
      <c r="I140" s="50">
        <v>9</v>
      </c>
      <c r="J140" s="50">
        <v>10</v>
      </c>
      <c r="K140" s="50">
        <v>11</v>
      </c>
      <c r="L140" s="50">
        <v>12</v>
      </c>
      <c r="M140" s="50">
        <v>13</v>
      </c>
      <c r="N140" s="50">
        <v>14</v>
      </c>
      <c r="O140" s="50">
        <v>15</v>
      </c>
      <c r="P140" s="50">
        <v>16</v>
      </c>
      <c r="Q140" s="50">
        <v>17</v>
      </c>
      <c r="R140" s="50">
        <v>18</v>
      </c>
      <c r="S140" s="50">
        <v>19</v>
      </c>
      <c r="T140" s="50">
        <v>20</v>
      </c>
      <c r="U140" s="50">
        <v>21</v>
      </c>
      <c r="V140" s="50">
        <v>22</v>
      </c>
      <c r="W140" s="50">
        <v>23</v>
      </c>
      <c r="X140" s="50">
        <v>24</v>
      </c>
      <c r="Y140" s="50">
        <v>25</v>
      </c>
      <c r="Z140" s="50">
        <v>26</v>
      </c>
      <c r="AA140" s="50">
        <v>27</v>
      </c>
      <c r="AB140" s="50">
        <v>28</v>
      </c>
      <c r="AC140" s="50">
        <v>29</v>
      </c>
      <c r="AD140" s="50">
        <v>30</v>
      </c>
      <c r="AE140" s="50">
        <v>31</v>
      </c>
      <c r="AF140" s="50">
        <v>32</v>
      </c>
      <c r="AG140" s="50">
        <v>33</v>
      </c>
      <c r="AH140" s="50">
        <v>34</v>
      </c>
      <c r="AI140" s="50">
        <v>35</v>
      </c>
      <c r="AJ140" s="50">
        <v>36</v>
      </c>
      <c r="AK140" s="50">
        <v>37</v>
      </c>
      <c r="AL140" s="50">
        <v>38</v>
      </c>
    </row>
    <row r="141" spans="1:38" ht="52.5" customHeight="1" x14ac:dyDescent="0.25">
      <c r="A141" s="197" t="s">
        <v>85</v>
      </c>
      <c r="B141" s="196" t="s">
        <v>270</v>
      </c>
      <c r="C141" s="196"/>
      <c r="D141" s="196" t="s">
        <v>271</v>
      </c>
      <c r="E141" s="196"/>
      <c r="F141" s="196" t="s">
        <v>275</v>
      </c>
      <c r="G141" s="196"/>
      <c r="H141" s="196" t="s">
        <v>276</v>
      </c>
      <c r="I141" s="196"/>
      <c r="J141" s="201" t="s">
        <v>264</v>
      </c>
      <c r="K141" s="202"/>
      <c r="L141" s="201" t="s">
        <v>265</v>
      </c>
      <c r="M141" s="202"/>
      <c r="N141" s="201" t="s">
        <v>267</v>
      </c>
      <c r="O141" s="202"/>
      <c r="P141" s="201" t="s">
        <v>268</v>
      </c>
      <c r="Q141" s="202"/>
      <c r="R141" s="115" t="s">
        <v>111</v>
      </c>
      <c r="S141" s="115" t="s">
        <v>112</v>
      </c>
      <c r="T141" s="115" t="s">
        <v>94</v>
      </c>
      <c r="U141" s="115" t="s">
        <v>87</v>
      </c>
      <c r="V141" s="115" t="s">
        <v>88</v>
      </c>
      <c r="W141" s="115" t="s">
        <v>89</v>
      </c>
      <c r="X141" s="115" t="s">
        <v>90</v>
      </c>
      <c r="Y141" s="115" t="s">
        <v>91</v>
      </c>
      <c r="Z141" s="115" t="s">
        <v>92</v>
      </c>
      <c r="AA141" s="201" t="s">
        <v>269</v>
      </c>
      <c r="AB141" s="202"/>
      <c r="AC141" s="201" t="s">
        <v>272</v>
      </c>
      <c r="AD141" s="202"/>
      <c r="AE141" s="199" t="s">
        <v>273</v>
      </c>
      <c r="AF141" s="200"/>
      <c r="AG141" s="199" t="s">
        <v>274</v>
      </c>
      <c r="AH141" s="200"/>
      <c r="AI141" s="199" t="s">
        <v>277</v>
      </c>
      <c r="AJ141" s="200"/>
      <c r="AK141" s="199" t="s">
        <v>278</v>
      </c>
      <c r="AL141" s="200"/>
    </row>
    <row r="142" spans="1:38" x14ac:dyDescent="0.25">
      <c r="A142" s="197"/>
      <c r="B142" s="139" t="s">
        <v>146</v>
      </c>
      <c r="C142" s="139" t="s">
        <v>81</v>
      </c>
      <c r="D142" s="139" t="s">
        <v>146</v>
      </c>
      <c r="E142" s="139" t="s">
        <v>81</v>
      </c>
      <c r="F142" s="139" t="s">
        <v>146</v>
      </c>
      <c r="G142" s="139" t="s">
        <v>81</v>
      </c>
      <c r="H142" s="139" t="s">
        <v>146</v>
      </c>
      <c r="I142" s="139" t="s">
        <v>81</v>
      </c>
      <c r="J142" s="139" t="s">
        <v>146</v>
      </c>
      <c r="K142" s="139" t="s">
        <v>81</v>
      </c>
      <c r="L142" s="139" t="s">
        <v>146</v>
      </c>
      <c r="M142" s="139" t="s">
        <v>81</v>
      </c>
      <c r="N142" s="139" t="s">
        <v>146</v>
      </c>
      <c r="O142" s="139" t="s">
        <v>81</v>
      </c>
      <c r="P142" s="139" t="s">
        <v>146</v>
      </c>
      <c r="Q142" s="139" t="s">
        <v>81</v>
      </c>
      <c r="R142" s="139" t="s">
        <v>81</v>
      </c>
      <c r="S142" s="139" t="s">
        <v>81</v>
      </c>
      <c r="T142" s="139" t="s">
        <v>81</v>
      </c>
      <c r="U142" s="139" t="s">
        <v>81</v>
      </c>
      <c r="V142" s="139" t="s">
        <v>81</v>
      </c>
      <c r="W142" s="139" t="s">
        <v>81</v>
      </c>
      <c r="X142" s="139" t="s">
        <v>81</v>
      </c>
      <c r="Y142" s="139" t="s">
        <v>81</v>
      </c>
      <c r="Z142" s="139" t="s">
        <v>81</v>
      </c>
      <c r="AA142" s="139" t="s">
        <v>146</v>
      </c>
      <c r="AB142" s="139" t="s">
        <v>81</v>
      </c>
      <c r="AC142" s="139" t="s">
        <v>146</v>
      </c>
      <c r="AD142" s="139" t="s">
        <v>81</v>
      </c>
      <c r="AE142" s="139" t="s">
        <v>146</v>
      </c>
      <c r="AF142" s="139" t="s">
        <v>81</v>
      </c>
      <c r="AG142" s="139" t="s">
        <v>146</v>
      </c>
      <c r="AH142" s="139" t="s">
        <v>81</v>
      </c>
      <c r="AI142" s="139" t="s">
        <v>146</v>
      </c>
      <c r="AJ142" s="139" t="s">
        <v>81</v>
      </c>
      <c r="AK142" s="139" t="s">
        <v>146</v>
      </c>
      <c r="AL142" s="139" t="s">
        <v>81</v>
      </c>
    </row>
    <row r="143" spans="1:38" x14ac:dyDescent="0.25">
      <c r="A143" s="140" t="s">
        <v>45</v>
      </c>
      <c r="B143" s="141" t="s">
        <v>10</v>
      </c>
      <c r="C143" s="140">
        <v>0</v>
      </c>
      <c r="D143" s="141" t="s">
        <v>10</v>
      </c>
      <c r="E143" s="140">
        <v>0</v>
      </c>
      <c r="F143" s="141" t="s">
        <v>10</v>
      </c>
      <c r="G143" s="140">
        <v>0</v>
      </c>
      <c r="H143" s="141" t="s">
        <v>10</v>
      </c>
      <c r="I143" s="140">
        <v>0</v>
      </c>
      <c r="J143" s="141" t="s">
        <v>10</v>
      </c>
      <c r="K143" s="116">
        <v>0</v>
      </c>
      <c r="L143" s="141" t="s">
        <v>10</v>
      </c>
      <c r="M143" s="116">
        <v>0</v>
      </c>
      <c r="N143" s="141" t="s">
        <v>10</v>
      </c>
      <c r="O143" s="116"/>
      <c r="P143" s="141" t="s">
        <v>10</v>
      </c>
      <c r="Q143" s="116"/>
      <c r="R143" s="142">
        <v>0</v>
      </c>
      <c r="S143" s="140">
        <v>0</v>
      </c>
      <c r="T143" s="142">
        <v>0</v>
      </c>
      <c r="U143" s="142">
        <v>0</v>
      </c>
      <c r="V143" s="142">
        <v>0</v>
      </c>
      <c r="W143" s="142">
        <v>0</v>
      </c>
      <c r="X143" s="142">
        <v>0</v>
      </c>
      <c r="Y143" s="142">
        <v>0</v>
      </c>
      <c r="Z143" s="142">
        <v>0</v>
      </c>
      <c r="AA143" s="126" t="s">
        <v>10</v>
      </c>
      <c r="AB143" s="126">
        <v>0</v>
      </c>
      <c r="AC143" s="126" t="s">
        <v>10</v>
      </c>
      <c r="AD143" s="126">
        <v>0</v>
      </c>
      <c r="AE143" s="126" t="s">
        <v>10</v>
      </c>
      <c r="AF143" s="126">
        <v>0</v>
      </c>
      <c r="AG143" s="126" t="s">
        <v>10</v>
      </c>
      <c r="AH143" s="126">
        <v>0</v>
      </c>
      <c r="AI143" s="126" t="s">
        <v>10</v>
      </c>
      <c r="AJ143" s="126">
        <v>0</v>
      </c>
      <c r="AK143" s="126" t="s">
        <v>10</v>
      </c>
      <c r="AL143" s="126">
        <v>0</v>
      </c>
    </row>
    <row r="144" spans="1:38" x14ac:dyDescent="0.25">
      <c r="A144" s="117" t="s">
        <v>95</v>
      </c>
      <c r="B144" s="117">
        <v>1.64</v>
      </c>
      <c r="C144" s="117">
        <v>16</v>
      </c>
      <c r="D144" s="117">
        <v>1.64</v>
      </c>
      <c r="E144" s="117">
        <v>4</v>
      </c>
      <c r="F144" s="117">
        <v>1.64</v>
      </c>
      <c r="G144" s="117">
        <v>10</v>
      </c>
      <c r="H144" s="117">
        <v>1.64</v>
      </c>
      <c r="I144" s="117">
        <v>4</v>
      </c>
      <c r="J144" s="117">
        <v>1.34</v>
      </c>
      <c r="K144" s="121">
        <v>4</v>
      </c>
      <c r="L144" s="117">
        <v>1.3</v>
      </c>
      <c r="M144" s="121">
        <v>4</v>
      </c>
      <c r="N144" s="117">
        <v>1.67</v>
      </c>
      <c r="O144" s="116">
        <v>2</v>
      </c>
      <c r="P144" s="117">
        <v>1.67</v>
      </c>
      <c r="Q144" s="116">
        <v>2</v>
      </c>
      <c r="R144" s="117">
        <v>96</v>
      </c>
      <c r="S144" s="117">
        <v>60</v>
      </c>
      <c r="T144" s="117">
        <v>9</v>
      </c>
      <c r="U144" s="117">
        <v>2</v>
      </c>
      <c r="V144" s="117">
        <v>0</v>
      </c>
      <c r="W144" s="117">
        <v>0</v>
      </c>
      <c r="X144" s="117">
        <v>2</v>
      </c>
      <c r="Y144" s="117">
        <v>0</v>
      </c>
      <c r="Z144" s="117">
        <v>0</v>
      </c>
      <c r="AA144" s="126" t="s">
        <v>10</v>
      </c>
      <c r="AB144" s="126">
        <v>0</v>
      </c>
      <c r="AC144" s="126">
        <v>0</v>
      </c>
      <c r="AD144" s="126">
        <v>0</v>
      </c>
      <c r="AE144" s="126" t="s">
        <v>10</v>
      </c>
      <c r="AF144" s="126">
        <v>0</v>
      </c>
      <c r="AG144" s="126" t="s">
        <v>10</v>
      </c>
      <c r="AH144" s="126">
        <v>0</v>
      </c>
      <c r="AI144" s="126" t="s">
        <v>10</v>
      </c>
      <c r="AJ144" s="126">
        <v>0</v>
      </c>
      <c r="AK144" s="126" t="s">
        <v>10</v>
      </c>
      <c r="AL144" s="126">
        <v>0</v>
      </c>
    </row>
    <row r="145" spans="1:38" x14ac:dyDescent="0.25">
      <c r="A145" s="117" t="s">
        <v>96</v>
      </c>
      <c r="B145" s="117">
        <v>1.64</v>
      </c>
      <c r="C145" s="117">
        <v>20</v>
      </c>
      <c r="D145" s="117">
        <v>1.64</v>
      </c>
      <c r="E145" s="117">
        <v>4</v>
      </c>
      <c r="F145" s="117">
        <v>1.64</v>
      </c>
      <c r="G145" s="117">
        <v>14</v>
      </c>
      <c r="H145" s="117">
        <v>1.64</v>
      </c>
      <c r="I145" s="117">
        <v>4</v>
      </c>
      <c r="J145" s="117">
        <v>1.64</v>
      </c>
      <c r="K145" s="121">
        <v>4</v>
      </c>
      <c r="L145" s="117">
        <v>1.61</v>
      </c>
      <c r="M145" s="121">
        <v>4</v>
      </c>
      <c r="N145" s="117">
        <v>1.67</v>
      </c>
      <c r="O145" s="116">
        <v>2</v>
      </c>
      <c r="P145" s="117">
        <v>1.67</v>
      </c>
      <c r="Q145" s="116">
        <v>2</v>
      </c>
      <c r="R145" s="117">
        <v>120</v>
      </c>
      <c r="S145" s="117">
        <v>84</v>
      </c>
      <c r="T145" s="117">
        <v>9</v>
      </c>
      <c r="U145" s="117">
        <v>0</v>
      </c>
      <c r="V145" s="117">
        <v>2</v>
      </c>
      <c r="W145" s="117">
        <v>0</v>
      </c>
      <c r="X145" s="117">
        <v>0</v>
      </c>
      <c r="Y145" s="117">
        <v>2</v>
      </c>
      <c r="Z145" s="117">
        <v>0</v>
      </c>
      <c r="AA145" s="126" t="s">
        <v>10</v>
      </c>
      <c r="AB145" s="126">
        <v>0</v>
      </c>
      <c r="AC145" s="126">
        <v>0</v>
      </c>
      <c r="AD145" s="126">
        <v>0</v>
      </c>
      <c r="AE145" s="126" t="s">
        <v>10</v>
      </c>
      <c r="AF145" s="126">
        <v>0</v>
      </c>
      <c r="AG145" s="126" t="s">
        <v>10</v>
      </c>
      <c r="AH145" s="126">
        <v>0</v>
      </c>
      <c r="AI145" s="126" t="s">
        <v>10</v>
      </c>
      <c r="AJ145" s="126">
        <v>0</v>
      </c>
      <c r="AK145" s="126" t="s">
        <v>10</v>
      </c>
      <c r="AL145" s="126">
        <v>0</v>
      </c>
    </row>
    <row r="146" spans="1:38" x14ac:dyDescent="0.25">
      <c r="A146" s="117" t="s">
        <v>20</v>
      </c>
      <c r="B146" s="117">
        <v>1.64</v>
      </c>
      <c r="C146" s="117">
        <v>22</v>
      </c>
      <c r="D146" s="117">
        <v>1.64</v>
      </c>
      <c r="E146" s="117">
        <v>4</v>
      </c>
      <c r="F146" s="117">
        <v>1.64</v>
      </c>
      <c r="G146" s="117">
        <v>16</v>
      </c>
      <c r="H146" s="117">
        <v>1.64</v>
      </c>
      <c r="I146" s="117">
        <v>4</v>
      </c>
      <c r="J146" s="117">
        <v>1.79</v>
      </c>
      <c r="K146" s="121">
        <v>4</v>
      </c>
      <c r="L146" s="117">
        <v>1.81</v>
      </c>
      <c r="M146" s="121">
        <v>4</v>
      </c>
      <c r="N146" s="117">
        <v>1.67</v>
      </c>
      <c r="O146" s="116">
        <v>2</v>
      </c>
      <c r="P146" s="117">
        <v>1.67</v>
      </c>
      <c r="Q146" s="116">
        <v>2</v>
      </c>
      <c r="R146" s="117">
        <v>132</v>
      </c>
      <c r="S146" s="117">
        <v>128</v>
      </c>
      <c r="T146" s="117">
        <v>9</v>
      </c>
      <c r="U146" s="117">
        <v>0</v>
      </c>
      <c r="V146" s="117">
        <v>0</v>
      </c>
      <c r="W146" s="117">
        <v>2</v>
      </c>
      <c r="X146" s="117">
        <v>0</v>
      </c>
      <c r="Y146" s="117">
        <v>0</v>
      </c>
      <c r="Z146" s="117">
        <v>2</v>
      </c>
      <c r="AA146" s="126" t="s">
        <v>10</v>
      </c>
      <c r="AB146" s="126">
        <v>0</v>
      </c>
      <c r="AC146" s="126">
        <v>0</v>
      </c>
      <c r="AD146" s="126">
        <v>0</v>
      </c>
      <c r="AE146" s="126" t="s">
        <v>10</v>
      </c>
      <c r="AF146" s="126">
        <v>0</v>
      </c>
      <c r="AG146" s="126" t="s">
        <v>10</v>
      </c>
      <c r="AH146" s="126">
        <v>0</v>
      </c>
      <c r="AI146" s="126" t="s">
        <v>10</v>
      </c>
      <c r="AJ146" s="126">
        <v>0</v>
      </c>
      <c r="AK146" s="126" t="s">
        <v>10</v>
      </c>
      <c r="AL146" s="126">
        <v>0</v>
      </c>
    </row>
    <row r="147" spans="1:38" x14ac:dyDescent="0.25">
      <c r="A147" s="117" t="s">
        <v>97</v>
      </c>
      <c r="B147" s="117">
        <v>1.64</v>
      </c>
      <c r="C147" s="117">
        <v>14</v>
      </c>
      <c r="D147" s="117">
        <v>1.64</v>
      </c>
      <c r="E147" s="117">
        <v>4</v>
      </c>
      <c r="F147" s="117">
        <v>1.64</v>
      </c>
      <c r="G147" s="117">
        <v>10</v>
      </c>
      <c r="H147" s="117">
        <v>1.64</v>
      </c>
      <c r="I147" s="117">
        <v>2</v>
      </c>
      <c r="J147" s="117">
        <v>1.22</v>
      </c>
      <c r="K147" s="121">
        <v>4</v>
      </c>
      <c r="L147" s="117">
        <v>1.19</v>
      </c>
      <c r="M147" s="121">
        <v>4</v>
      </c>
      <c r="N147" s="117">
        <v>1.67</v>
      </c>
      <c r="O147" s="116">
        <v>2</v>
      </c>
      <c r="P147" s="117">
        <v>1.67</v>
      </c>
      <c r="Q147" s="116">
        <v>2</v>
      </c>
      <c r="R147" s="117">
        <v>144</v>
      </c>
      <c r="S147" s="117">
        <v>96</v>
      </c>
      <c r="T147" s="117">
        <v>24</v>
      </c>
      <c r="U147" s="142">
        <v>0</v>
      </c>
      <c r="V147" s="142">
        <v>0</v>
      </c>
      <c r="W147" s="142">
        <v>0</v>
      </c>
      <c r="X147" s="142">
        <v>0</v>
      </c>
      <c r="Y147" s="142">
        <v>0</v>
      </c>
      <c r="Z147" s="142">
        <v>0</v>
      </c>
      <c r="AA147" s="126" t="s">
        <v>10</v>
      </c>
      <c r="AB147" s="126">
        <v>0</v>
      </c>
      <c r="AC147" s="126">
        <v>0</v>
      </c>
      <c r="AD147" s="126">
        <v>0</v>
      </c>
      <c r="AE147" s="126" t="s">
        <v>10</v>
      </c>
      <c r="AF147" s="126">
        <v>0</v>
      </c>
      <c r="AG147" s="126" t="s">
        <v>10</v>
      </c>
      <c r="AH147" s="126">
        <v>0</v>
      </c>
      <c r="AI147" s="126" t="s">
        <v>10</v>
      </c>
      <c r="AJ147" s="126">
        <v>0</v>
      </c>
      <c r="AK147" s="126" t="s">
        <v>10</v>
      </c>
      <c r="AL147" s="126">
        <v>0</v>
      </c>
    </row>
    <row r="148" spans="1:38" x14ac:dyDescent="0.25">
      <c r="A148" s="117" t="s">
        <v>98</v>
      </c>
      <c r="B148" s="117">
        <v>1.9</v>
      </c>
      <c r="C148" s="143">
        <v>14</v>
      </c>
      <c r="D148" s="117">
        <v>1.9</v>
      </c>
      <c r="E148" s="143">
        <v>4</v>
      </c>
      <c r="F148" s="117">
        <v>1.9</v>
      </c>
      <c r="G148" s="143">
        <v>10</v>
      </c>
      <c r="H148" s="117">
        <v>1.9</v>
      </c>
      <c r="I148" s="143">
        <v>2</v>
      </c>
      <c r="J148" s="117">
        <v>1.22</v>
      </c>
      <c r="K148" s="121">
        <v>4</v>
      </c>
      <c r="L148" s="117">
        <v>1.19</v>
      </c>
      <c r="M148" s="121">
        <v>4</v>
      </c>
      <c r="N148" s="117">
        <v>1.93</v>
      </c>
      <c r="O148" s="116">
        <v>2</v>
      </c>
      <c r="P148" s="117">
        <v>1.93</v>
      </c>
      <c r="Q148" s="116">
        <v>2</v>
      </c>
      <c r="R148" s="143">
        <v>144</v>
      </c>
      <c r="S148" s="143">
        <v>96</v>
      </c>
      <c r="T148" s="143">
        <v>24</v>
      </c>
      <c r="U148" s="142">
        <v>0</v>
      </c>
      <c r="V148" s="142">
        <v>0</v>
      </c>
      <c r="W148" s="142">
        <v>0</v>
      </c>
      <c r="X148" s="142">
        <v>0</v>
      </c>
      <c r="Y148" s="142">
        <v>0</v>
      </c>
      <c r="Z148" s="142">
        <v>0</v>
      </c>
      <c r="AA148" s="126" t="s">
        <v>10</v>
      </c>
      <c r="AB148" s="126">
        <v>0</v>
      </c>
      <c r="AC148" s="126">
        <v>0</v>
      </c>
      <c r="AD148" s="126">
        <v>0</v>
      </c>
      <c r="AE148" s="126" t="s">
        <v>10</v>
      </c>
      <c r="AF148" s="126">
        <v>0</v>
      </c>
      <c r="AG148" s="126" t="s">
        <v>10</v>
      </c>
      <c r="AH148" s="126">
        <v>0</v>
      </c>
      <c r="AI148" s="126" t="s">
        <v>10</v>
      </c>
      <c r="AJ148" s="126">
        <v>0</v>
      </c>
      <c r="AK148" s="126" t="s">
        <v>10</v>
      </c>
      <c r="AL148" s="126">
        <v>0</v>
      </c>
    </row>
    <row r="149" spans="1:38" x14ac:dyDescent="0.25">
      <c r="A149" s="117" t="s">
        <v>99</v>
      </c>
      <c r="B149" s="143">
        <v>2.1</v>
      </c>
      <c r="C149" s="143">
        <v>14</v>
      </c>
      <c r="D149" s="143">
        <v>2.1</v>
      </c>
      <c r="E149" s="143">
        <v>4</v>
      </c>
      <c r="F149" s="143">
        <v>2.1</v>
      </c>
      <c r="G149" s="143">
        <v>10</v>
      </c>
      <c r="H149" s="143">
        <v>2.1</v>
      </c>
      <c r="I149" s="143">
        <v>2</v>
      </c>
      <c r="J149" s="143">
        <v>1.22</v>
      </c>
      <c r="K149" s="121">
        <v>4</v>
      </c>
      <c r="L149" s="143">
        <v>1.19</v>
      </c>
      <c r="M149" s="121">
        <v>4</v>
      </c>
      <c r="N149" s="143">
        <v>2.13</v>
      </c>
      <c r="O149" s="116">
        <v>2</v>
      </c>
      <c r="P149" s="143">
        <v>2.13</v>
      </c>
      <c r="Q149" s="116">
        <v>2</v>
      </c>
      <c r="R149" s="143">
        <v>144</v>
      </c>
      <c r="S149" s="143">
        <v>96</v>
      </c>
      <c r="T149" s="143">
        <v>24</v>
      </c>
      <c r="U149" s="142">
        <v>0</v>
      </c>
      <c r="V149" s="142">
        <v>0</v>
      </c>
      <c r="W149" s="142">
        <v>0</v>
      </c>
      <c r="X149" s="142">
        <v>0</v>
      </c>
      <c r="Y149" s="142">
        <v>0</v>
      </c>
      <c r="Z149" s="142">
        <v>0</v>
      </c>
      <c r="AA149" s="126" t="s">
        <v>10</v>
      </c>
      <c r="AB149" s="126">
        <v>0</v>
      </c>
      <c r="AC149" s="126">
        <v>0</v>
      </c>
      <c r="AD149" s="126">
        <v>0</v>
      </c>
      <c r="AE149" s="126" t="s">
        <v>10</v>
      </c>
      <c r="AF149" s="126">
        <v>0</v>
      </c>
      <c r="AG149" s="126" t="s">
        <v>10</v>
      </c>
      <c r="AH149" s="126">
        <v>0</v>
      </c>
      <c r="AI149" s="126" t="s">
        <v>10</v>
      </c>
      <c r="AJ149" s="126">
        <v>0</v>
      </c>
      <c r="AK149" s="126" t="s">
        <v>10</v>
      </c>
      <c r="AL149" s="126">
        <v>0</v>
      </c>
    </row>
    <row r="150" spans="1:38" x14ac:dyDescent="0.25">
      <c r="A150" s="117" t="s">
        <v>100</v>
      </c>
      <c r="B150" s="117">
        <v>1.64</v>
      </c>
      <c r="C150" s="117">
        <v>18</v>
      </c>
      <c r="D150" s="117">
        <v>1.64</v>
      </c>
      <c r="E150" s="117">
        <v>4</v>
      </c>
      <c r="F150" s="117">
        <v>1.64</v>
      </c>
      <c r="G150" s="117">
        <v>14</v>
      </c>
      <c r="H150" s="117">
        <v>1.64</v>
      </c>
      <c r="I150" s="117">
        <v>2</v>
      </c>
      <c r="J150" s="117">
        <v>1.52</v>
      </c>
      <c r="K150" s="121">
        <v>4</v>
      </c>
      <c r="L150" s="117">
        <v>1.49</v>
      </c>
      <c r="M150" s="121">
        <v>4</v>
      </c>
      <c r="N150" s="117">
        <v>1.67</v>
      </c>
      <c r="O150" s="116">
        <v>2</v>
      </c>
      <c r="P150" s="117">
        <v>1.67</v>
      </c>
      <c r="Q150" s="116">
        <v>2</v>
      </c>
      <c r="R150" s="117">
        <v>176</v>
      </c>
      <c r="S150" s="117">
        <v>128</v>
      </c>
      <c r="T150" s="117">
        <v>24</v>
      </c>
      <c r="U150" s="142">
        <v>0</v>
      </c>
      <c r="V150" s="142">
        <v>0</v>
      </c>
      <c r="W150" s="142">
        <v>0</v>
      </c>
      <c r="X150" s="142">
        <v>0</v>
      </c>
      <c r="Y150" s="142">
        <v>0</v>
      </c>
      <c r="Z150" s="142">
        <v>0</v>
      </c>
      <c r="AA150" s="126" t="s">
        <v>10</v>
      </c>
      <c r="AB150" s="126">
        <v>0</v>
      </c>
      <c r="AC150" s="126">
        <v>0</v>
      </c>
      <c r="AD150" s="126">
        <v>0</v>
      </c>
      <c r="AE150" s="126" t="s">
        <v>10</v>
      </c>
      <c r="AF150" s="126">
        <v>0</v>
      </c>
      <c r="AG150" s="126" t="s">
        <v>10</v>
      </c>
      <c r="AH150" s="126">
        <v>0</v>
      </c>
      <c r="AI150" s="126" t="s">
        <v>10</v>
      </c>
      <c r="AJ150" s="126">
        <v>0</v>
      </c>
      <c r="AK150" s="126" t="s">
        <v>10</v>
      </c>
      <c r="AL150" s="126">
        <v>0</v>
      </c>
    </row>
    <row r="151" spans="1:38" x14ac:dyDescent="0.25">
      <c r="A151" s="117" t="s">
        <v>101</v>
      </c>
      <c r="B151" s="117">
        <v>1.9</v>
      </c>
      <c r="C151" s="143">
        <v>18</v>
      </c>
      <c r="D151" s="117">
        <v>1.9</v>
      </c>
      <c r="E151" s="143">
        <v>4</v>
      </c>
      <c r="F151" s="117">
        <v>1.9</v>
      </c>
      <c r="G151" s="143">
        <v>14</v>
      </c>
      <c r="H151" s="117">
        <v>1.9</v>
      </c>
      <c r="I151" s="143">
        <v>2</v>
      </c>
      <c r="J151" s="117">
        <v>1.52</v>
      </c>
      <c r="K151" s="121">
        <v>4</v>
      </c>
      <c r="L151" s="117">
        <v>1.49</v>
      </c>
      <c r="M151" s="121">
        <v>4</v>
      </c>
      <c r="N151" s="117">
        <v>1.93</v>
      </c>
      <c r="O151" s="116">
        <v>2</v>
      </c>
      <c r="P151" s="117">
        <v>1.93</v>
      </c>
      <c r="Q151" s="116">
        <v>2</v>
      </c>
      <c r="R151" s="143">
        <v>176</v>
      </c>
      <c r="S151" s="143">
        <v>128</v>
      </c>
      <c r="T151" s="143">
        <v>24</v>
      </c>
      <c r="U151" s="142">
        <v>0</v>
      </c>
      <c r="V151" s="142">
        <v>0</v>
      </c>
      <c r="W151" s="142">
        <v>0</v>
      </c>
      <c r="X151" s="142">
        <v>0</v>
      </c>
      <c r="Y151" s="142">
        <v>0</v>
      </c>
      <c r="Z151" s="142">
        <v>0</v>
      </c>
      <c r="AA151" s="126" t="s">
        <v>10</v>
      </c>
      <c r="AB151" s="126">
        <v>0</v>
      </c>
      <c r="AC151" s="126">
        <v>0</v>
      </c>
      <c r="AD151" s="126">
        <v>0</v>
      </c>
      <c r="AE151" s="126" t="s">
        <v>10</v>
      </c>
      <c r="AF151" s="126">
        <v>0</v>
      </c>
      <c r="AG151" s="126" t="s">
        <v>10</v>
      </c>
      <c r="AH151" s="126">
        <v>0</v>
      </c>
      <c r="AI151" s="126" t="s">
        <v>10</v>
      </c>
      <c r="AJ151" s="126">
        <v>0</v>
      </c>
      <c r="AK151" s="126" t="s">
        <v>10</v>
      </c>
      <c r="AL151" s="126">
        <v>0</v>
      </c>
    </row>
    <row r="152" spans="1:38" x14ac:dyDescent="0.25">
      <c r="A152" s="117" t="s">
        <v>102</v>
      </c>
      <c r="B152" s="143">
        <v>2.1</v>
      </c>
      <c r="C152" s="143">
        <v>18</v>
      </c>
      <c r="D152" s="143">
        <v>2.1</v>
      </c>
      <c r="E152" s="143">
        <v>4</v>
      </c>
      <c r="F152" s="143">
        <v>2.1</v>
      </c>
      <c r="G152" s="143">
        <v>14</v>
      </c>
      <c r="H152" s="143">
        <v>2.1</v>
      </c>
      <c r="I152" s="143">
        <v>2</v>
      </c>
      <c r="J152" s="143">
        <v>1.52</v>
      </c>
      <c r="K152" s="121">
        <v>4</v>
      </c>
      <c r="L152" s="143">
        <v>1.49</v>
      </c>
      <c r="M152" s="121">
        <v>4</v>
      </c>
      <c r="N152" s="143">
        <v>2.13</v>
      </c>
      <c r="O152" s="116">
        <v>2</v>
      </c>
      <c r="P152" s="143">
        <v>2.13</v>
      </c>
      <c r="Q152" s="116">
        <v>2</v>
      </c>
      <c r="R152" s="143">
        <v>176</v>
      </c>
      <c r="S152" s="143">
        <v>128</v>
      </c>
      <c r="T152" s="143">
        <v>24</v>
      </c>
      <c r="U152" s="142">
        <v>0</v>
      </c>
      <c r="V152" s="142">
        <v>0</v>
      </c>
      <c r="W152" s="142">
        <v>0</v>
      </c>
      <c r="X152" s="142">
        <v>0</v>
      </c>
      <c r="Y152" s="142">
        <v>0</v>
      </c>
      <c r="Z152" s="142">
        <v>0</v>
      </c>
      <c r="AA152" s="126" t="s">
        <v>10</v>
      </c>
      <c r="AB152" s="126">
        <v>0</v>
      </c>
      <c r="AC152" s="126">
        <v>0</v>
      </c>
      <c r="AD152" s="126">
        <v>0</v>
      </c>
      <c r="AE152" s="126" t="s">
        <v>10</v>
      </c>
      <c r="AF152" s="126">
        <v>0</v>
      </c>
      <c r="AG152" s="126" t="s">
        <v>10</v>
      </c>
      <c r="AH152" s="126">
        <v>0</v>
      </c>
      <c r="AI152" s="126" t="s">
        <v>10</v>
      </c>
      <c r="AJ152" s="126">
        <v>0</v>
      </c>
      <c r="AK152" s="126" t="s">
        <v>10</v>
      </c>
      <c r="AL152" s="126">
        <v>0</v>
      </c>
    </row>
    <row r="153" spans="1:38" x14ac:dyDescent="0.25">
      <c r="A153" s="117" t="s">
        <v>24</v>
      </c>
      <c r="B153" s="117">
        <v>1.64</v>
      </c>
      <c r="C153" s="117">
        <v>20</v>
      </c>
      <c r="D153" s="117">
        <v>1.64</v>
      </c>
      <c r="E153" s="117">
        <v>4</v>
      </c>
      <c r="F153" s="117">
        <v>1.64</v>
      </c>
      <c r="G153" s="117">
        <v>16</v>
      </c>
      <c r="H153" s="117">
        <v>1.64</v>
      </c>
      <c r="I153" s="117">
        <v>2</v>
      </c>
      <c r="J153" s="117">
        <v>1.67</v>
      </c>
      <c r="K153" s="121">
        <v>4</v>
      </c>
      <c r="L153" s="117">
        <v>1.69</v>
      </c>
      <c r="M153" s="121">
        <v>4</v>
      </c>
      <c r="N153" s="117">
        <v>1.67</v>
      </c>
      <c r="O153" s="116">
        <v>2</v>
      </c>
      <c r="P153" s="117">
        <v>1.67</v>
      </c>
      <c r="Q153" s="116">
        <v>2</v>
      </c>
      <c r="R153" s="117">
        <v>192</v>
      </c>
      <c r="S153" s="117">
        <v>144</v>
      </c>
      <c r="T153" s="117">
        <v>24</v>
      </c>
      <c r="U153" s="142">
        <v>0</v>
      </c>
      <c r="V153" s="142">
        <v>0</v>
      </c>
      <c r="W153" s="142">
        <v>0</v>
      </c>
      <c r="X153" s="142">
        <v>0</v>
      </c>
      <c r="Y153" s="142">
        <v>0</v>
      </c>
      <c r="Z153" s="142">
        <v>0</v>
      </c>
      <c r="AA153" s="126" t="s">
        <v>10</v>
      </c>
      <c r="AB153" s="126">
        <v>0</v>
      </c>
      <c r="AC153" s="126">
        <v>0</v>
      </c>
      <c r="AD153" s="126">
        <v>0</v>
      </c>
      <c r="AE153" s="126" t="s">
        <v>10</v>
      </c>
      <c r="AF153" s="126">
        <v>0</v>
      </c>
      <c r="AG153" s="126" t="s">
        <v>10</v>
      </c>
      <c r="AH153" s="126">
        <v>0</v>
      </c>
      <c r="AI153" s="126" t="s">
        <v>10</v>
      </c>
      <c r="AJ153" s="126">
        <v>0</v>
      </c>
      <c r="AK153" s="126" t="s">
        <v>10</v>
      </c>
      <c r="AL153" s="126">
        <v>0</v>
      </c>
    </row>
    <row r="154" spans="1:38" s="124" customFormat="1" x14ac:dyDescent="0.25">
      <c r="A154" s="121" t="s">
        <v>25</v>
      </c>
      <c r="B154" s="121">
        <v>1.9</v>
      </c>
      <c r="C154" s="144">
        <v>20</v>
      </c>
      <c r="D154" s="121">
        <v>1.9</v>
      </c>
      <c r="E154" s="144">
        <v>4</v>
      </c>
      <c r="F154" s="121">
        <v>1.9</v>
      </c>
      <c r="G154" s="144">
        <v>16</v>
      </c>
      <c r="H154" s="121">
        <v>1.9</v>
      </c>
      <c r="I154" s="144">
        <v>2</v>
      </c>
      <c r="J154" s="121">
        <v>1.67</v>
      </c>
      <c r="K154" s="121">
        <v>4</v>
      </c>
      <c r="L154" s="121">
        <v>1.69</v>
      </c>
      <c r="M154" s="121">
        <v>4</v>
      </c>
      <c r="N154" s="121">
        <v>1.93</v>
      </c>
      <c r="O154" s="138">
        <v>2</v>
      </c>
      <c r="P154" s="121">
        <v>1.93</v>
      </c>
      <c r="Q154" s="138">
        <v>2</v>
      </c>
      <c r="R154" s="144">
        <v>192</v>
      </c>
      <c r="S154" s="144">
        <v>144</v>
      </c>
      <c r="T154" s="144">
        <v>24</v>
      </c>
      <c r="U154" s="145">
        <v>0</v>
      </c>
      <c r="V154" s="145">
        <v>0</v>
      </c>
      <c r="W154" s="145">
        <v>0</v>
      </c>
      <c r="X154" s="145">
        <v>0</v>
      </c>
      <c r="Y154" s="145">
        <v>0</v>
      </c>
      <c r="Z154" s="145">
        <v>0</v>
      </c>
      <c r="AA154" s="125" t="s">
        <v>10</v>
      </c>
      <c r="AB154" s="125">
        <v>0</v>
      </c>
      <c r="AC154" s="125">
        <v>0</v>
      </c>
      <c r="AD154" s="125">
        <v>0</v>
      </c>
      <c r="AE154" s="125" t="s">
        <v>10</v>
      </c>
      <c r="AF154" s="125">
        <v>0</v>
      </c>
      <c r="AG154" s="125" t="s">
        <v>10</v>
      </c>
      <c r="AH154" s="125">
        <v>0</v>
      </c>
      <c r="AI154" s="125" t="s">
        <v>10</v>
      </c>
      <c r="AJ154" s="125">
        <v>0</v>
      </c>
      <c r="AK154" s="125" t="s">
        <v>10</v>
      </c>
      <c r="AL154" s="125">
        <v>0</v>
      </c>
    </row>
    <row r="155" spans="1:38" x14ac:dyDescent="0.25">
      <c r="A155" s="117" t="s">
        <v>26</v>
      </c>
      <c r="B155" s="143">
        <v>2.1</v>
      </c>
      <c r="C155" s="143">
        <v>20</v>
      </c>
      <c r="D155" s="143">
        <v>2.1</v>
      </c>
      <c r="E155" s="143">
        <v>4</v>
      </c>
      <c r="F155" s="143">
        <v>2.1</v>
      </c>
      <c r="G155" s="143">
        <v>16</v>
      </c>
      <c r="H155" s="143">
        <v>2.1</v>
      </c>
      <c r="I155" s="143">
        <v>2</v>
      </c>
      <c r="J155" s="143">
        <v>1.67</v>
      </c>
      <c r="K155" s="121">
        <v>4</v>
      </c>
      <c r="L155" s="143">
        <v>1.69</v>
      </c>
      <c r="M155" s="121">
        <v>4</v>
      </c>
      <c r="N155" s="143">
        <v>2.13</v>
      </c>
      <c r="O155" s="116">
        <v>2</v>
      </c>
      <c r="P155" s="143">
        <v>2.13</v>
      </c>
      <c r="Q155" s="116">
        <v>2</v>
      </c>
      <c r="R155" s="143">
        <v>192</v>
      </c>
      <c r="S155" s="143">
        <v>144</v>
      </c>
      <c r="T155" s="143">
        <v>24</v>
      </c>
      <c r="U155" s="142">
        <v>0</v>
      </c>
      <c r="V155" s="142">
        <v>0</v>
      </c>
      <c r="W155" s="142">
        <v>0</v>
      </c>
      <c r="X155" s="142">
        <v>0</v>
      </c>
      <c r="Y155" s="142">
        <v>0</v>
      </c>
      <c r="Z155" s="142">
        <v>0</v>
      </c>
      <c r="AA155" s="126" t="s">
        <v>10</v>
      </c>
      <c r="AB155" s="126">
        <v>0</v>
      </c>
      <c r="AC155" s="126">
        <v>0</v>
      </c>
      <c r="AD155" s="126">
        <v>0</v>
      </c>
      <c r="AE155" s="126" t="s">
        <v>10</v>
      </c>
      <c r="AF155" s="126">
        <v>0</v>
      </c>
      <c r="AG155" s="126" t="s">
        <v>10</v>
      </c>
      <c r="AH155" s="126">
        <v>0</v>
      </c>
      <c r="AI155" s="126" t="s">
        <v>10</v>
      </c>
      <c r="AJ155" s="126">
        <v>0</v>
      </c>
      <c r="AK155" s="126" t="s">
        <v>10</v>
      </c>
      <c r="AL155" s="126">
        <v>0</v>
      </c>
    </row>
    <row r="156" spans="1:38" s="124" customFormat="1" x14ac:dyDescent="0.25">
      <c r="A156" s="121" t="s">
        <v>241</v>
      </c>
      <c r="B156" s="144">
        <v>1.38</v>
      </c>
      <c r="C156" s="144">
        <v>20</v>
      </c>
      <c r="D156" s="144">
        <v>1.38</v>
      </c>
      <c r="E156" s="144">
        <v>4</v>
      </c>
      <c r="F156" s="144">
        <v>1.38</v>
      </c>
      <c r="G156" s="144">
        <v>14</v>
      </c>
      <c r="H156" s="144">
        <v>1.38</v>
      </c>
      <c r="I156" s="144">
        <v>4</v>
      </c>
      <c r="J156" s="144">
        <v>1.72</v>
      </c>
      <c r="K156" s="121">
        <v>6</v>
      </c>
      <c r="L156" s="144">
        <v>1.72</v>
      </c>
      <c r="M156" s="121">
        <v>6</v>
      </c>
      <c r="N156" s="144">
        <v>1.41</v>
      </c>
      <c r="O156" s="138">
        <v>2</v>
      </c>
      <c r="P156" s="149">
        <v>1.41</v>
      </c>
      <c r="Q156" s="150">
        <v>2</v>
      </c>
      <c r="R156" s="149">
        <v>288</v>
      </c>
      <c r="S156" s="150">
        <v>216</v>
      </c>
      <c r="T156" s="144">
        <v>36</v>
      </c>
      <c r="U156" s="145">
        <v>0</v>
      </c>
      <c r="V156" s="145">
        <v>0</v>
      </c>
      <c r="W156" s="145">
        <v>0</v>
      </c>
      <c r="X156" s="145">
        <v>0</v>
      </c>
      <c r="Y156" s="145">
        <v>0</v>
      </c>
      <c r="Z156" s="145">
        <v>0</v>
      </c>
      <c r="AA156" s="138">
        <v>1.91</v>
      </c>
      <c r="AB156" s="138">
        <v>1</v>
      </c>
      <c r="AC156" s="138">
        <v>1.91</v>
      </c>
      <c r="AD156" s="138">
        <v>1</v>
      </c>
      <c r="AE156" s="138">
        <v>1.88</v>
      </c>
      <c r="AF156" s="138">
        <v>10</v>
      </c>
      <c r="AG156" s="138">
        <v>1.88</v>
      </c>
      <c r="AH156" s="138">
        <v>2</v>
      </c>
      <c r="AI156" s="138">
        <v>1.88</v>
      </c>
      <c r="AJ156" s="138">
        <v>7</v>
      </c>
      <c r="AK156" s="138">
        <v>1.88</v>
      </c>
      <c r="AL156" s="138">
        <v>2</v>
      </c>
    </row>
    <row r="157" spans="1:38" s="124" customFormat="1" x14ac:dyDescent="0.25">
      <c r="A157" s="121" t="s">
        <v>242</v>
      </c>
      <c r="B157" s="144">
        <v>1.38</v>
      </c>
      <c r="C157" s="144">
        <v>10</v>
      </c>
      <c r="D157" s="144">
        <v>1.38</v>
      </c>
      <c r="E157" s="144">
        <v>2</v>
      </c>
      <c r="F157" s="144">
        <v>1.38</v>
      </c>
      <c r="G157" s="144">
        <v>7</v>
      </c>
      <c r="H157" s="144">
        <v>1.38</v>
      </c>
      <c r="I157" s="144">
        <v>2</v>
      </c>
      <c r="J157" s="144">
        <v>1.72</v>
      </c>
      <c r="K157" s="121">
        <v>6</v>
      </c>
      <c r="L157" s="144">
        <v>1.72</v>
      </c>
      <c r="M157" s="121">
        <v>6</v>
      </c>
      <c r="N157" s="144">
        <v>1.41</v>
      </c>
      <c r="O157" s="138">
        <v>1</v>
      </c>
      <c r="P157" s="149">
        <v>1.41</v>
      </c>
      <c r="Q157" s="150">
        <v>1</v>
      </c>
      <c r="R157" s="149">
        <v>288</v>
      </c>
      <c r="S157" s="150">
        <v>216</v>
      </c>
      <c r="T157" s="144">
        <v>36</v>
      </c>
      <c r="U157" s="145">
        <v>0</v>
      </c>
      <c r="V157" s="145">
        <v>0</v>
      </c>
      <c r="W157" s="145">
        <v>0</v>
      </c>
      <c r="X157" s="145">
        <v>0</v>
      </c>
      <c r="Y157" s="145">
        <v>0</v>
      </c>
      <c r="Z157" s="145">
        <v>0</v>
      </c>
      <c r="AA157" s="138">
        <v>1.91</v>
      </c>
      <c r="AB157" s="138">
        <v>2</v>
      </c>
      <c r="AC157" s="138">
        <v>1.91</v>
      </c>
      <c r="AD157" s="138">
        <v>2</v>
      </c>
      <c r="AE157" s="138">
        <v>1.88</v>
      </c>
      <c r="AF157" s="138">
        <v>20</v>
      </c>
      <c r="AG157" s="138">
        <v>1.88</v>
      </c>
      <c r="AH157" s="138">
        <v>4</v>
      </c>
      <c r="AI157" s="138">
        <v>1.88</v>
      </c>
      <c r="AJ157" s="138">
        <v>14</v>
      </c>
      <c r="AK157" s="138">
        <v>1.88</v>
      </c>
      <c r="AL157" s="138">
        <v>4</v>
      </c>
    </row>
    <row r="158" spans="1:38" s="124" customFormat="1" x14ac:dyDescent="0.25">
      <c r="A158" s="121" t="s">
        <v>243</v>
      </c>
      <c r="B158" s="149" t="s">
        <v>10</v>
      </c>
      <c r="C158" s="150">
        <v>0</v>
      </c>
      <c r="D158" s="149" t="s">
        <v>10</v>
      </c>
      <c r="E158" s="150">
        <v>0</v>
      </c>
      <c r="F158" s="149" t="s">
        <v>10</v>
      </c>
      <c r="G158" s="150">
        <v>0</v>
      </c>
      <c r="H158" s="149" t="s">
        <v>10</v>
      </c>
      <c r="I158" s="150">
        <v>0</v>
      </c>
      <c r="J158" s="144">
        <v>1.72</v>
      </c>
      <c r="K158" s="121">
        <v>6</v>
      </c>
      <c r="L158" s="144">
        <v>1.72</v>
      </c>
      <c r="M158" s="121">
        <v>6</v>
      </c>
      <c r="N158" s="149">
        <v>1.91</v>
      </c>
      <c r="O158" s="150">
        <v>3</v>
      </c>
      <c r="P158" s="149">
        <v>1.91</v>
      </c>
      <c r="Q158" s="150">
        <v>3</v>
      </c>
      <c r="R158" s="149">
        <v>288</v>
      </c>
      <c r="S158" s="150">
        <v>216</v>
      </c>
      <c r="T158" s="144">
        <v>36</v>
      </c>
      <c r="U158" s="145">
        <v>0</v>
      </c>
      <c r="V158" s="145">
        <v>0</v>
      </c>
      <c r="W158" s="145">
        <v>0</v>
      </c>
      <c r="X158" s="145">
        <v>0</v>
      </c>
      <c r="Y158" s="145">
        <v>0</v>
      </c>
      <c r="Z158" s="145">
        <v>0</v>
      </c>
      <c r="AA158" s="138">
        <v>1.91</v>
      </c>
      <c r="AB158" s="138">
        <v>3</v>
      </c>
      <c r="AC158" s="138">
        <v>1.91</v>
      </c>
      <c r="AD158" s="138">
        <v>3</v>
      </c>
      <c r="AE158" s="138">
        <v>1.88</v>
      </c>
      <c r="AF158" s="138">
        <v>30</v>
      </c>
      <c r="AG158" s="138">
        <v>1.88</v>
      </c>
      <c r="AH158" s="138">
        <v>6</v>
      </c>
      <c r="AI158" s="138">
        <v>1.88</v>
      </c>
      <c r="AJ158" s="138">
        <v>21</v>
      </c>
      <c r="AK158" s="138">
        <v>1.88</v>
      </c>
      <c r="AL158" s="138">
        <v>6</v>
      </c>
    </row>
    <row r="159" spans="1:38" s="124" customFormat="1" x14ac:dyDescent="0.25">
      <c r="A159" s="121" t="s">
        <v>103</v>
      </c>
      <c r="B159" s="121">
        <v>1.64</v>
      </c>
      <c r="C159" s="121">
        <v>14</v>
      </c>
      <c r="D159" s="121">
        <v>1.64</v>
      </c>
      <c r="E159" s="121">
        <v>4</v>
      </c>
      <c r="F159" s="121">
        <v>1.64</v>
      </c>
      <c r="G159" s="121">
        <v>10</v>
      </c>
      <c r="H159" s="121">
        <v>1.64</v>
      </c>
      <c r="I159" s="121">
        <v>2</v>
      </c>
      <c r="J159" s="121">
        <v>1.22</v>
      </c>
      <c r="K159" s="121">
        <v>4</v>
      </c>
      <c r="L159" s="121">
        <v>1.19</v>
      </c>
      <c r="M159" s="121">
        <v>4</v>
      </c>
      <c r="N159" s="121">
        <v>1.67</v>
      </c>
      <c r="O159" s="138">
        <v>2</v>
      </c>
      <c r="P159" s="121">
        <v>1.67</v>
      </c>
      <c r="Q159" s="138">
        <v>2</v>
      </c>
      <c r="R159" s="121">
        <v>144</v>
      </c>
      <c r="S159" s="121">
        <v>96</v>
      </c>
      <c r="T159" s="121">
        <v>24</v>
      </c>
      <c r="U159" s="145">
        <v>0</v>
      </c>
      <c r="V159" s="145">
        <v>0</v>
      </c>
      <c r="W159" s="145">
        <v>0</v>
      </c>
      <c r="X159" s="145">
        <v>0</v>
      </c>
      <c r="Y159" s="145">
        <v>0</v>
      </c>
      <c r="Z159" s="145">
        <v>0</v>
      </c>
      <c r="AA159" s="125" t="s">
        <v>10</v>
      </c>
      <c r="AB159" s="125">
        <v>0</v>
      </c>
      <c r="AC159" s="125" t="s">
        <v>10</v>
      </c>
      <c r="AD159" s="125">
        <v>0</v>
      </c>
      <c r="AE159" s="125" t="s">
        <v>10</v>
      </c>
      <c r="AF159" s="125">
        <v>0</v>
      </c>
      <c r="AG159" s="125" t="s">
        <v>10</v>
      </c>
      <c r="AH159" s="125">
        <v>0</v>
      </c>
      <c r="AI159" s="125" t="s">
        <v>10</v>
      </c>
      <c r="AJ159" s="125">
        <v>0</v>
      </c>
      <c r="AK159" s="125" t="s">
        <v>10</v>
      </c>
      <c r="AL159" s="125">
        <v>0</v>
      </c>
    </row>
    <row r="160" spans="1:38" s="124" customFormat="1" x14ac:dyDescent="0.25">
      <c r="A160" s="121" t="s">
        <v>105</v>
      </c>
      <c r="B160" s="121">
        <v>1.9</v>
      </c>
      <c r="C160" s="144">
        <v>14</v>
      </c>
      <c r="D160" s="121">
        <v>1.9</v>
      </c>
      <c r="E160" s="144">
        <v>4</v>
      </c>
      <c r="F160" s="121">
        <v>1.9</v>
      </c>
      <c r="G160" s="144">
        <v>10</v>
      </c>
      <c r="H160" s="121">
        <v>1.9</v>
      </c>
      <c r="I160" s="144">
        <v>2</v>
      </c>
      <c r="J160" s="121">
        <v>1.22</v>
      </c>
      <c r="K160" s="121">
        <v>4</v>
      </c>
      <c r="L160" s="121">
        <v>1.19</v>
      </c>
      <c r="M160" s="121">
        <v>4</v>
      </c>
      <c r="N160" s="121">
        <v>1.93</v>
      </c>
      <c r="O160" s="138">
        <v>2</v>
      </c>
      <c r="P160" s="121">
        <v>1.93</v>
      </c>
      <c r="Q160" s="138">
        <v>2</v>
      </c>
      <c r="R160" s="144">
        <v>144</v>
      </c>
      <c r="S160" s="144">
        <v>96</v>
      </c>
      <c r="T160" s="144">
        <v>24</v>
      </c>
      <c r="U160" s="145">
        <v>0</v>
      </c>
      <c r="V160" s="145">
        <v>0</v>
      </c>
      <c r="W160" s="145">
        <v>0</v>
      </c>
      <c r="X160" s="145">
        <v>0</v>
      </c>
      <c r="Y160" s="145">
        <v>0</v>
      </c>
      <c r="Z160" s="145">
        <v>0</v>
      </c>
      <c r="AA160" s="125" t="s">
        <v>10</v>
      </c>
      <c r="AB160" s="125">
        <v>0</v>
      </c>
      <c r="AC160" s="125" t="s">
        <v>10</v>
      </c>
      <c r="AD160" s="125">
        <v>0</v>
      </c>
      <c r="AE160" s="125" t="s">
        <v>10</v>
      </c>
      <c r="AF160" s="125">
        <v>0</v>
      </c>
      <c r="AG160" s="125" t="s">
        <v>10</v>
      </c>
      <c r="AH160" s="125">
        <v>0</v>
      </c>
      <c r="AI160" s="125" t="s">
        <v>10</v>
      </c>
      <c r="AJ160" s="125">
        <v>0</v>
      </c>
      <c r="AK160" s="125" t="s">
        <v>10</v>
      </c>
      <c r="AL160" s="125">
        <v>0</v>
      </c>
    </row>
    <row r="161" spans="1:38" s="124" customFormat="1" x14ac:dyDescent="0.25">
      <c r="A161" s="121" t="s">
        <v>106</v>
      </c>
      <c r="B161" s="144">
        <v>2.1</v>
      </c>
      <c r="C161" s="144">
        <v>14</v>
      </c>
      <c r="D161" s="144">
        <v>2.1</v>
      </c>
      <c r="E161" s="144">
        <v>4</v>
      </c>
      <c r="F161" s="144">
        <v>2.1</v>
      </c>
      <c r="G161" s="144">
        <v>10</v>
      </c>
      <c r="H161" s="144">
        <v>2.1</v>
      </c>
      <c r="I161" s="144">
        <v>2</v>
      </c>
      <c r="J161" s="144">
        <v>1.22</v>
      </c>
      <c r="K161" s="121">
        <v>4</v>
      </c>
      <c r="L161" s="144">
        <v>1.19</v>
      </c>
      <c r="M161" s="121">
        <v>4</v>
      </c>
      <c r="N161" s="144">
        <v>2.13</v>
      </c>
      <c r="O161" s="138">
        <v>2</v>
      </c>
      <c r="P161" s="144">
        <v>2.13</v>
      </c>
      <c r="Q161" s="138">
        <v>2</v>
      </c>
      <c r="R161" s="144">
        <v>144</v>
      </c>
      <c r="S161" s="144">
        <v>96</v>
      </c>
      <c r="T161" s="144">
        <v>24</v>
      </c>
      <c r="U161" s="145">
        <v>0</v>
      </c>
      <c r="V161" s="145">
        <v>0</v>
      </c>
      <c r="W161" s="145">
        <v>0</v>
      </c>
      <c r="X161" s="145">
        <v>0</v>
      </c>
      <c r="Y161" s="145">
        <v>0</v>
      </c>
      <c r="Z161" s="145">
        <v>0</v>
      </c>
      <c r="AA161" s="125" t="s">
        <v>10</v>
      </c>
      <c r="AB161" s="125">
        <v>0</v>
      </c>
      <c r="AC161" s="125" t="s">
        <v>10</v>
      </c>
      <c r="AD161" s="125">
        <v>0</v>
      </c>
      <c r="AE161" s="125" t="s">
        <v>10</v>
      </c>
      <c r="AF161" s="125">
        <v>0</v>
      </c>
      <c r="AG161" s="125" t="s">
        <v>10</v>
      </c>
      <c r="AH161" s="125">
        <v>0</v>
      </c>
      <c r="AI161" s="125" t="s">
        <v>10</v>
      </c>
      <c r="AJ161" s="125">
        <v>0</v>
      </c>
      <c r="AK161" s="125" t="s">
        <v>10</v>
      </c>
      <c r="AL161" s="125">
        <v>0</v>
      </c>
    </row>
    <row r="162" spans="1:38" s="124" customFormat="1" x14ac:dyDescent="0.25">
      <c r="A162" s="121" t="s">
        <v>104</v>
      </c>
      <c r="B162" s="121">
        <v>1.64</v>
      </c>
      <c r="C162" s="121">
        <v>18</v>
      </c>
      <c r="D162" s="121">
        <v>1.64</v>
      </c>
      <c r="E162" s="121">
        <v>4</v>
      </c>
      <c r="F162" s="121">
        <v>1.64</v>
      </c>
      <c r="G162" s="121">
        <v>14</v>
      </c>
      <c r="H162" s="121">
        <v>1.64</v>
      </c>
      <c r="I162" s="121">
        <v>2</v>
      </c>
      <c r="J162" s="121">
        <v>1.52</v>
      </c>
      <c r="K162" s="121">
        <v>4</v>
      </c>
      <c r="L162" s="121">
        <v>1.49</v>
      </c>
      <c r="M162" s="121">
        <v>4</v>
      </c>
      <c r="N162" s="121">
        <v>1.67</v>
      </c>
      <c r="O162" s="138">
        <v>2</v>
      </c>
      <c r="P162" s="121">
        <v>1.67</v>
      </c>
      <c r="Q162" s="138">
        <v>2</v>
      </c>
      <c r="R162" s="121">
        <v>176</v>
      </c>
      <c r="S162" s="121">
        <v>128</v>
      </c>
      <c r="T162" s="121">
        <v>24</v>
      </c>
      <c r="U162" s="145">
        <v>0</v>
      </c>
      <c r="V162" s="145">
        <v>0</v>
      </c>
      <c r="W162" s="145">
        <v>0</v>
      </c>
      <c r="X162" s="145">
        <v>0</v>
      </c>
      <c r="Y162" s="145">
        <v>0</v>
      </c>
      <c r="Z162" s="145">
        <v>0</v>
      </c>
      <c r="AA162" s="125" t="s">
        <v>10</v>
      </c>
      <c r="AB162" s="125">
        <v>0</v>
      </c>
      <c r="AC162" s="125" t="s">
        <v>10</v>
      </c>
      <c r="AD162" s="125">
        <v>0</v>
      </c>
      <c r="AE162" s="125" t="s">
        <v>10</v>
      </c>
      <c r="AF162" s="125">
        <v>0</v>
      </c>
      <c r="AG162" s="125" t="s">
        <v>10</v>
      </c>
      <c r="AH162" s="125">
        <v>0</v>
      </c>
      <c r="AI162" s="125" t="s">
        <v>10</v>
      </c>
      <c r="AJ162" s="125">
        <v>0</v>
      </c>
      <c r="AK162" s="125" t="s">
        <v>10</v>
      </c>
      <c r="AL162" s="125">
        <v>0</v>
      </c>
    </row>
    <row r="163" spans="1:38" s="124" customFormat="1" x14ac:dyDescent="0.25">
      <c r="A163" s="121" t="s">
        <v>107</v>
      </c>
      <c r="B163" s="121">
        <v>1.9</v>
      </c>
      <c r="C163" s="144">
        <v>18</v>
      </c>
      <c r="D163" s="121">
        <v>1.9</v>
      </c>
      <c r="E163" s="144">
        <v>4</v>
      </c>
      <c r="F163" s="121">
        <v>1.9</v>
      </c>
      <c r="G163" s="144">
        <v>14</v>
      </c>
      <c r="H163" s="121">
        <v>1.9</v>
      </c>
      <c r="I163" s="144">
        <v>2</v>
      </c>
      <c r="J163" s="121">
        <v>1.52</v>
      </c>
      <c r="K163" s="121">
        <v>4</v>
      </c>
      <c r="L163" s="121">
        <v>1.49</v>
      </c>
      <c r="M163" s="121">
        <v>4</v>
      </c>
      <c r="N163" s="121">
        <v>1.93</v>
      </c>
      <c r="O163" s="138">
        <v>2</v>
      </c>
      <c r="P163" s="121">
        <v>1.93</v>
      </c>
      <c r="Q163" s="138">
        <v>2</v>
      </c>
      <c r="R163" s="144">
        <v>176</v>
      </c>
      <c r="S163" s="144">
        <v>128</v>
      </c>
      <c r="T163" s="144">
        <v>24</v>
      </c>
      <c r="U163" s="145">
        <v>0</v>
      </c>
      <c r="V163" s="145">
        <v>0</v>
      </c>
      <c r="W163" s="145">
        <v>0</v>
      </c>
      <c r="X163" s="145">
        <v>0</v>
      </c>
      <c r="Y163" s="145">
        <v>0</v>
      </c>
      <c r="Z163" s="145">
        <v>0</v>
      </c>
      <c r="AA163" s="125" t="s">
        <v>10</v>
      </c>
      <c r="AB163" s="125">
        <v>0</v>
      </c>
      <c r="AC163" s="125" t="s">
        <v>10</v>
      </c>
      <c r="AD163" s="125">
        <v>0</v>
      </c>
      <c r="AE163" s="125" t="s">
        <v>10</v>
      </c>
      <c r="AF163" s="125">
        <v>0</v>
      </c>
      <c r="AG163" s="125" t="s">
        <v>10</v>
      </c>
      <c r="AH163" s="125">
        <v>0</v>
      </c>
      <c r="AI163" s="125" t="s">
        <v>10</v>
      </c>
      <c r="AJ163" s="125">
        <v>0</v>
      </c>
      <c r="AK163" s="125" t="s">
        <v>10</v>
      </c>
      <c r="AL163" s="125">
        <v>0</v>
      </c>
    </row>
    <row r="164" spans="1:38" s="124" customFormat="1" x14ac:dyDescent="0.25">
      <c r="A164" s="121" t="s">
        <v>108</v>
      </c>
      <c r="B164" s="144">
        <v>2.1</v>
      </c>
      <c r="C164" s="144">
        <v>18</v>
      </c>
      <c r="D164" s="144">
        <v>2.1</v>
      </c>
      <c r="E164" s="144">
        <v>4</v>
      </c>
      <c r="F164" s="144">
        <v>2.1</v>
      </c>
      <c r="G164" s="144">
        <v>14</v>
      </c>
      <c r="H164" s="144">
        <v>2.1</v>
      </c>
      <c r="I164" s="144">
        <v>2</v>
      </c>
      <c r="J164" s="144">
        <v>1.52</v>
      </c>
      <c r="K164" s="121">
        <v>4</v>
      </c>
      <c r="L164" s="144">
        <v>1.49</v>
      </c>
      <c r="M164" s="121">
        <v>4</v>
      </c>
      <c r="N164" s="144">
        <v>2.13</v>
      </c>
      <c r="O164" s="138">
        <v>2</v>
      </c>
      <c r="P164" s="144">
        <v>2.1320000000000001</v>
      </c>
      <c r="Q164" s="138">
        <v>2</v>
      </c>
      <c r="R164" s="144">
        <v>176</v>
      </c>
      <c r="S164" s="144">
        <v>128</v>
      </c>
      <c r="T164" s="144">
        <v>24</v>
      </c>
      <c r="U164" s="145">
        <v>0</v>
      </c>
      <c r="V164" s="145">
        <v>0</v>
      </c>
      <c r="W164" s="145">
        <v>0</v>
      </c>
      <c r="X164" s="145">
        <v>0</v>
      </c>
      <c r="Y164" s="145">
        <v>0</v>
      </c>
      <c r="Z164" s="145">
        <v>0</v>
      </c>
      <c r="AA164" s="125" t="s">
        <v>10</v>
      </c>
      <c r="AB164" s="125">
        <v>0</v>
      </c>
      <c r="AC164" s="125" t="s">
        <v>10</v>
      </c>
      <c r="AD164" s="125">
        <v>0</v>
      </c>
      <c r="AE164" s="125" t="s">
        <v>10</v>
      </c>
      <c r="AF164" s="125">
        <v>0</v>
      </c>
      <c r="AG164" s="125" t="s">
        <v>10</v>
      </c>
      <c r="AH164" s="125">
        <v>0</v>
      </c>
      <c r="AI164" s="125" t="s">
        <v>10</v>
      </c>
      <c r="AJ164" s="125">
        <v>0</v>
      </c>
      <c r="AK164" s="125" t="s">
        <v>10</v>
      </c>
      <c r="AL164" s="125">
        <v>0</v>
      </c>
    </row>
    <row r="165" spans="1:38" s="124" customFormat="1" x14ac:dyDescent="0.25">
      <c r="A165" s="121" t="s">
        <v>31</v>
      </c>
      <c r="B165" s="121">
        <v>1.64</v>
      </c>
      <c r="C165" s="121">
        <v>20</v>
      </c>
      <c r="D165" s="121">
        <v>1.64</v>
      </c>
      <c r="E165" s="121">
        <v>4</v>
      </c>
      <c r="F165" s="121">
        <v>1.64</v>
      </c>
      <c r="G165" s="121">
        <v>16</v>
      </c>
      <c r="H165" s="121">
        <v>1.64</v>
      </c>
      <c r="I165" s="121">
        <v>2</v>
      </c>
      <c r="J165" s="121">
        <v>1.67</v>
      </c>
      <c r="K165" s="121">
        <v>4</v>
      </c>
      <c r="L165" s="121">
        <v>1.69</v>
      </c>
      <c r="M165" s="121">
        <v>4</v>
      </c>
      <c r="N165" s="121">
        <v>1.67</v>
      </c>
      <c r="O165" s="138">
        <v>2</v>
      </c>
      <c r="P165" s="121">
        <v>1.67</v>
      </c>
      <c r="Q165" s="138">
        <v>2</v>
      </c>
      <c r="R165" s="121">
        <v>192</v>
      </c>
      <c r="S165" s="121">
        <v>144</v>
      </c>
      <c r="T165" s="121">
        <v>24</v>
      </c>
      <c r="U165" s="145">
        <v>0</v>
      </c>
      <c r="V165" s="145">
        <v>0</v>
      </c>
      <c r="W165" s="145">
        <v>0</v>
      </c>
      <c r="X165" s="145">
        <v>0</v>
      </c>
      <c r="Y165" s="145">
        <v>0</v>
      </c>
      <c r="Z165" s="145">
        <v>0</v>
      </c>
      <c r="AA165" s="125" t="s">
        <v>10</v>
      </c>
      <c r="AB165" s="125">
        <v>0</v>
      </c>
      <c r="AC165" s="125" t="s">
        <v>10</v>
      </c>
      <c r="AD165" s="125">
        <v>0</v>
      </c>
      <c r="AE165" s="125" t="s">
        <v>10</v>
      </c>
      <c r="AF165" s="125">
        <v>0</v>
      </c>
      <c r="AG165" s="125" t="s">
        <v>10</v>
      </c>
      <c r="AH165" s="125">
        <v>0</v>
      </c>
      <c r="AI165" s="125" t="s">
        <v>10</v>
      </c>
      <c r="AJ165" s="125">
        <v>0</v>
      </c>
      <c r="AK165" s="125" t="s">
        <v>10</v>
      </c>
      <c r="AL165" s="125">
        <v>0</v>
      </c>
    </row>
    <row r="166" spans="1:38" s="124" customFormat="1" x14ac:dyDescent="0.25">
      <c r="A166" s="121" t="s">
        <v>36</v>
      </c>
      <c r="B166" s="121">
        <v>1.9</v>
      </c>
      <c r="C166" s="144">
        <v>20</v>
      </c>
      <c r="D166" s="121">
        <v>1.9</v>
      </c>
      <c r="E166" s="144">
        <v>4</v>
      </c>
      <c r="F166" s="121">
        <v>1.9</v>
      </c>
      <c r="G166" s="144">
        <v>16</v>
      </c>
      <c r="H166" s="121">
        <v>1.9</v>
      </c>
      <c r="I166" s="144">
        <v>2</v>
      </c>
      <c r="J166" s="121">
        <v>1.67</v>
      </c>
      <c r="K166" s="121">
        <v>4</v>
      </c>
      <c r="L166" s="121">
        <v>1.69</v>
      </c>
      <c r="M166" s="121">
        <v>4</v>
      </c>
      <c r="N166" s="121">
        <v>1.93</v>
      </c>
      <c r="O166" s="138">
        <v>2</v>
      </c>
      <c r="P166" s="121">
        <v>1.93</v>
      </c>
      <c r="Q166" s="138">
        <v>2</v>
      </c>
      <c r="R166" s="144">
        <v>192</v>
      </c>
      <c r="S166" s="144">
        <v>144</v>
      </c>
      <c r="T166" s="144">
        <v>24</v>
      </c>
      <c r="U166" s="145">
        <v>0</v>
      </c>
      <c r="V166" s="145">
        <v>0</v>
      </c>
      <c r="W166" s="145">
        <v>0</v>
      </c>
      <c r="X166" s="145">
        <v>0</v>
      </c>
      <c r="Y166" s="145">
        <v>0</v>
      </c>
      <c r="Z166" s="145">
        <v>0</v>
      </c>
      <c r="AA166" s="125" t="s">
        <v>10</v>
      </c>
      <c r="AB166" s="125">
        <v>0</v>
      </c>
      <c r="AC166" s="125" t="s">
        <v>10</v>
      </c>
      <c r="AD166" s="125">
        <v>0</v>
      </c>
      <c r="AE166" s="125" t="s">
        <v>10</v>
      </c>
      <c r="AF166" s="125">
        <v>0</v>
      </c>
      <c r="AG166" s="125" t="s">
        <v>10</v>
      </c>
      <c r="AH166" s="125">
        <v>0</v>
      </c>
      <c r="AI166" s="125" t="s">
        <v>10</v>
      </c>
      <c r="AJ166" s="125">
        <v>0</v>
      </c>
      <c r="AK166" s="125" t="s">
        <v>10</v>
      </c>
      <c r="AL166" s="125">
        <v>0</v>
      </c>
    </row>
    <row r="167" spans="1:38" s="124" customFormat="1" x14ac:dyDescent="0.25">
      <c r="A167" s="121" t="s">
        <v>37</v>
      </c>
      <c r="B167" s="144">
        <v>2.1</v>
      </c>
      <c r="C167" s="144">
        <v>20</v>
      </c>
      <c r="D167" s="144">
        <v>2.1</v>
      </c>
      <c r="E167" s="144">
        <v>4</v>
      </c>
      <c r="F167" s="144">
        <v>2.1</v>
      </c>
      <c r="G167" s="144">
        <v>16</v>
      </c>
      <c r="H167" s="144">
        <v>2.1</v>
      </c>
      <c r="I167" s="144">
        <v>2</v>
      </c>
      <c r="J167" s="144">
        <v>1.67</v>
      </c>
      <c r="K167" s="121">
        <v>4</v>
      </c>
      <c r="L167" s="144">
        <v>1.69</v>
      </c>
      <c r="M167" s="121">
        <v>4</v>
      </c>
      <c r="N167" s="144">
        <v>2.13</v>
      </c>
      <c r="O167" s="138">
        <v>2</v>
      </c>
      <c r="P167" s="144">
        <v>2.13</v>
      </c>
      <c r="Q167" s="138">
        <v>2</v>
      </c>
      <c r="R167" s="144">
        <v>192</v>
      </c>
      <c r="S167" s="144">
        <v>144</v>
      </c>
      <c r="T167" s="144">
        <v>24</v>
      </c>
      <c r="U167" s="145">
        <v>0</v>
      </c>
      <c r="V167" s="145">
        <v>0</v>
      </c>
      <c r="W167" s="145">
        <v>0</v>
      </c>
      <c r="X167" s="145">
        <v>0</v>
      </c>
      <c r="Y167" s="145">
        <v>0</v>
      </c>
      <c r="Z167" s="145">
        <v>0</v>
      </c>
      <c r="AA167" s="125" t="s">
        <v>10</v>
      </c>
      <c r="AB167" s="125">
        <v>0</v>
      </c>
      <c r="AC167" s="125" t="s">
        <v>10</v>
      </c>
      <c r="AD167" s="125">
        <v>0</v>
      </c>
      <c r="AE167" s="125" t="s">
        <v>10</v>
      </c>
      <c r="AF167" s="125">
        <v>0</v>
      </c>
      <c r="AG167" s="125" t="s">
        <v>10</v>
      </c>
      <c r="AH167" s="125">
        <v>0</v>
      </c>
      <c r="AI167" s="125" t="s">
        <v>10</v>
      </c>
      <c r="AJ167" s="125">
        <v>0</v>
      </c>
      <c r="AK167" s="125" t="s">
        <v>10</v>
      </c>
      <c r="AL167" s="125">
        <v>0</v>
      </c>
    </row>
    <row r="168" spans="1:38" s="124" customFormat="1" x14ac:dyDescent="0.25">
      <c r="A168" s="121" t="s">
        <v>298</v>
      </c>
      <c r="B168" s="144">
        <v>1.38</v>
      </c>
      <c r="C168" s="144">
        <v>20</v>
      </c>
      <c r="D168" s="144">
        <v>1.38</v>
      </c>
      <c r="E168" s="144">
        <v>4</v>
      </c>
      <c r="F168" s="144">
        <v>1.38</v>
      </c>
      <c r="G168" s="144">
        <v>14</v>
      </c>
      <c r="H168" s="144">
        <v>1.38</v>
      </c>
      <c r="I168" s="144">
        <v>4</v>
      </c>
      <c r="J168" s="144">
        <v>1.72</v>
      </c>
      <c r="K168" s="121">
        <v>6</v>
      </c>
      <c r="L168" s="144">
        <v>1.72</v>
      </c>
      <c r="M168" s="121">
        <v>6</v>
      </c>
      <c r="N168" s="144">
        <v>1.41</v>
      </c>
      <c r="O168" s="138">
        <v>2</v>
      </c>
      <c r="P168" s="149">
        <v>1.41</v>
      </c>
      <c r="Q168" s="150">
        <v>2</v>
      </c>
      <c r="R168" s="149">
        <v>288</v>
      </c>
      <c r="S168" s="150">
        <v>216</v>
      </c>
      <c r="T168" s="144">
        <v>36</v>
      </c>
      <c r="U168" s="145">
        <v>0</v>
      </c>
      <c r="V168" s="145">
        <v>0</v>
      </c>
      <c r="W168" s="145">
        <v>0</v>
      </c>
      <c r="X168" s="145">
        <v>0</v>
      </c>
      <c r="Y168" s="145">
        <v>0</v>
      </c>
      <c r="Z168" s="145">
        <v>0</v>
      </c>
      <c r="AA168" s="138">
        <v>1.91</v>
      </c>
      <c r="AB168" s="138">
        <v>1</v>
      </c>
      <c r="AC168" s="138">
        <v>1.91</v>
      </c>
      <c r="AD168" s="138">
        <v>1</v>
      </c>
      <c r="AE168" s="138">
        <v>1.88</v>
      </c>
      <c r="AF168" s="138">
        <v>10</v>
      </c>
      <c r="AG168" s="138">
        <v>1.88</v>
      </c>
      <c r="AH168" s="138">
        <v>2</v>
      </c>
      <c r="AI168" s="138">
        <v>1.88</v>
      </c>
      <c r="AJ168" s="138">
        <v>7</v>
      </c>
      <c r="AK168" s="138">
        <v>1.88</v>
      </c>
      <c r="AL168" s="138">
        <v>2</v>
      </c>
    </row>
    <row r="169" spans="1:38" s="124" customFormat="1" x14ac:dyDescent="0.25">
      <c r="A169" s="121" t="s">
        <v>299</v>
      </c>
      <c r="B169" s="144">
        <v>1.38</v>
      </c>
      <c r="C169" s="144">
        <v>10</v>
      </c>
      <c r="D169" s="144">
        <v>1.38</v>
      </c>
      <c r="E169" s="144">
        <v>2</v>
      </c>
      <c r="F169" s="144">
        <v>1.38</v>
      </c>
      <c r="G169" s="144">
        <v>7</v>
      </c>
      <c r="H169" s="144">
        <v>1.38</v>
      </c>
      <c r="I169" s="144">
        <v>2</v>
      </c>
      <c r="J169" s="144">
        <v>1.72</v>
      </c>
      <c r="K169" s="121">
        <v>6</v>
      </c>
      <c r="L169" s="144">
        <v>1.72</v>
      </c>
      <c r="M169" s="121">
        <v>6</v>
      </c>
      <c r="N169" s="144">
        <v>1.41</v>
      </c>
      <c r="O169" s="138">
        <v>1</v>
      </c>
      <c r="P169" s="149">
        <v>1.41</v>
      </c>
      <c r="Q169" s="150">
        <v>1</v>
      </c>
      <c r="R169" s="149">
        <v>288</v>
      </c>
      <c r="S169" s="150">
        <v>216</v>
      </c>
      <c r="T169" s="144">
        <v>36</v>
      </c>
      <c r="U169" s="145">
        <v>0</v>
      </c>
      <c r="V169" s="145">
        <v>0</v>
      </c>
      <c r="W169" s="145">
        <v>0</v>
      </c>
      <c r="X169" s="145">
        <v>0</v>
      </c>
      <c r="Y169" s="145">
        <v>0</v>
      </c>
      <c r="Z169" s="145">
        <v>0</v>
      </c>
      <c r="AA169" s="138">
        <v>1.91</v>
      </c>
      <c r="AB169" s="138">
        <v>2</v>
      </c>
      <c r="AC169" s="138">
        <v>1.91</v>
      </c>
      <c r="AD169" s="138">
        <v>2</v>
      </c>
      <c r="AE169" s="138">
        <v>1.88</v>
      </c>
      <c r="AF169" s="138">
        <v>20</v>
      </c>
      <c r="AG169" s="138">
        <v>1.88</v>
      </c>
      <c r="AH169" s="138">
        <v>4</v>
      </c>
      <c r="AI169" s="138">
        <v>1.88</v>
      </c>
      <c r="AJ169" s="138">
        <v>14</v>
      </c>
      <c r="AK169" s="138">
        <v>1.88</v>
      </c>
      <c r="AL169" s="138">
        <v>4</v>
      </c>
    </row>
    <row r="170" spans="1:38" s="124" customFormat="1" x14ac:dyDescent="0.25">
      <c r="A170" s="121" t="s">
        <v>300</v>
      </c>
      <c r="B170" s="149" t="s">
        <v>10</v>
      </c>
      <c r="C170" s="150">
        <v>0</v>
      </c>
      <c r="D170" s="149" t="s">
        <v>10</v>
      </c>
      <c r="E170" s="150">
        <v>0</v>
      </c>
      <c r="F170" s="149" t="s">
        <v>10</v>
      </c>
      <c r="G170" s="150">
        <v>0</v>
      </c>
      <c r="H170" s="149" t="s">
        <v>10</v>
      </c>
      <c r="I170" s="150">
        <v>0</v>
      </c>
      <c r="J170" s="144">
        <v>1.72</v>
      </c>
      <c r="K170" s="121">
        <v>6</v>
      </c>
      <c r="L170" s="144">
        <v>1.72</v>
      </c>
      <c r="M170" s="121">
        <v>6</v>
      </c>
      <c r="N170" s="149">
        <v>1.91</v>
      </c>
      <c r="O170" s="150">
        <v>3</v>
      </c>
      <c r="P170" s="149">
        <v>1.91</v>
      </c>
      <c r="Q170" s="150">
        <v>3</v>
      </c>
      <c r="R170" s="149">
        <v>288</v>
      </c>
      <c r="S170" s="150">
        <v>216</v>
      </c>
      <c r="T170" s="144">
        <v>36</v>
      </c>
      <c r="U170" s="145">
        <v>0</v>
      </c>
      <c r="V170" s="145">
        <v>0</v>
      </c>
      <c r="W170" s="145">
        <v>0</v>
      </c>
      <c r="X170" s="145">
        <v>0</v>
      </c>
      <c r="Y170" s="145">
        <v>0</v>
      </c>
      <c r="Z170" s="145">
        <v>0</v>
      </c>
      <c r="AA170" s="138">
        <v>1.91</v>
      </c>
      <c r="AB170" s="138">
        <v>3</v>
      </c>
      <c r="AC170" s="138">
        <v>1.91</v>
      </c>
      <c r="AD170" s="138">
        <v>3</v>
      </c>
      <c r="AE170" s="138">
        <v>1.88</v>
      </c>
      <c r="AF170" s="138">
        <v>30</v>
      </c>
      <c r="AG170" s="138">
        <v>1.88</v>
      </c>
      <c r="AH170" s="138">
        <v>6</v>
      </c>
      <c r="AI170" s="138">
        <v>1.88</v>
      </c>
      <c r="AJ170" s="138">
        <v>21</v>
      </c>
      <c r="AK170" s="138">
        <v>1.88</v>
      </c>
      <c r="AL170" s="138">
        <v>6</v>
      </c>
    </row>
    <row r="174" spans="1:38" x14ac:dyDescent="0.25">
      <c r="A174" s="27" t="s">
        <v>157</v>
      </c>
    </row>
    <row r="175" spans="1:38" x14ac:dyDescent="0.25">
      <c r="A175" s="63" t="s">
        <v>10</v>
      </c>
    </row>
    <row r="176" spans="1:38" x14ac:dyDescent="0.25">
      <c r="A176" s="63" t="s">
        <v>158</v>
      </c>
    </row>
    <row r="177" spans="1:2" x14ac:dyDescent="0.25">
      <c r="A177" s="63" t="s">
        <v>159</v>
      </c>
    </row>
    <row r="178" spans="1:2" x14ac:dyDescent="0.25">
      <c r="A178" s="63" t="s">
        <v>160</v>
      </c>
    </row>
    <row r="181" spans="1:2" ht="18.75" x14ac:dyDescent="0.3">
      <c r="A181" s="105" t="s">
        <v>163</v>
      </c>
    </row>
    <row r="182" spans="1:2" ht="30" x14ac:dyDescent="0.25">
      <c r="A182" s="193" t="s">
        <v>54</v>
      </c>
      <c r="B182" s="92" t="s">
        <v>175</v>
      </c>
    </row>
    <row r="183" spans="1:2" ht="45" x14ac:dyDescent="0.25">
      <c r="A183" s="194"/>
      <c r="B183" s="92" t="s">
        <v>176</v>
      </c>
    </row>
    <row r="184" spans="1:2" x14ac:dyDescent="0.25">
      <c r="A184" s="90">
        <v>0</v>
      </c>
      <c r="B184" s="93">
        <v>0</v>
      </c>
    </row>
    <row r="185" spans="1:2" x14ac:dyDescent="0.25">
      <c r="A185" s="90">
        <v>0.5</v>
      </c>
      <c r="B185" s="93">
        <v>4</v>
      </c>
    </row>
    <row r="186" spans="1:2" x14ac:dyDescent="0.25">
      <c r="A186" s="90">
        <v>0.6</v>
      </c>
      <c r="B186" s="93">
        <v>5</v>
      </c>
    </row>
    <row r="187" spans="1:2" x14ac:dyDescent="0.25">
      <c r="A187" s="90">
        <v>0.7</v>
      </c>
      <c r="B187" s="93">
        <v>5.9999999999999991</v>
      </c>
    </row>
    <row r="188" spans="1:2" x14ac:dyDescent="0.25">
      <c r="A188" s="90">
        <v>0.8</v>
      </c>
      <c r="B188" s="93">
        <v>7</v>
      </c>
    </row>
    <row r="189" spans="1:2" x14ac:dyDescent="0.25">
      <c r="A189" s="90">
        <v>0.9</v>
      </c>
      <c r="B189" s="93">
        <v>8</v>
      </c>
    </row>
    <row r="190" spans="1:2" x14ac:dyDescent="0.25">
      <c r="A190" s="90">
        <v>1</v>
      </c>
      <c r="B190" s="93">
        <v>9</v>
      </c>
    </row>
    <row r="191" spans="1:2" x14ac:dyDescent="0.25">
      <c r="A191" s="90">
        <v>1.1000000000000001</v>
      </c>
      <c r="B191" s="93">
        <v>10</v>
      </c>
    </row>
    <row r="192" spans="1:2" x14ac:dyDescent="0.25">
      <c r="A192" s="90">
        <v>1.2</v>
      </c>
      <c r="B192" s="93">
        <v>10.999999999999998</v>
      </c>
    </row>
    <row r="193" spans="1:2" x14ac:dyDescent="0.25">
      <c r="A193" s="90">
        <v>1.3</v>
      </c>
      <c r="B193" s="93">
        <v>11.999999999999998</v>
      </c>
    </row>
    <row r="194" spans="1:2" x14ac:dyDescent="0.25">
      <c r="A194" s="90">
        <v>1.4</v>
      </c>
      <c r="B194" s="93">
        <v>12.999999999999998</v>
      </c>
    </row>
    <row r="195" spans="1:2" x14ac:dyDescent="0.25">
      <c r="A195" s="90">
        <v>1.5</v>
      </c>
      <c r="B195" s="93">
        <v>13.999999999999998</v>
      </c>
    </row>
    <row r="196" spans="1:2" x14ac:dyDescent="0.25">
      <c r="A196" s="90">
        <v>1.6</v>
      </c>
      <c r="B196" s="93">
        <v>15</v>
      </c>
    </row>
    <row r="197" spans="1:2" x14ac:dyDescent="0.25">
      <c r="A197" s="90">
        <v>1.7</v>
      </c>
      <c r="B197" s="93">
        <v>15.999999999999998</v>
      </c>
    </row>
    <row r="198" spans="1:2" x14ac:dyDescent="0.25">
      <c r="A198" s="90">
        <v>1.8</v>
      </c>
      <c r="B198" s="93">
        <v>17</v>
      </c>
    </row>
    <row r="199" spans="1:2" x14ac:dyDescent="0.25">
      <c r="A199" s="90">
        <v>1.9</v>
      </c>
      <c r="B199" s="93">
        <v>17.999999999999996</v>
      </c>
    </row>
    <row r="200" spans="1:2" x14ac:dyDescent="0.25">
      <c r="A200" s="90">
        <v>2</v>
      </c>
      <c r="B200" s="93">
        <v>18.999999999999996</v>
      </c>
    </row>
    <row r="201" spans="1:2" x14ac:dyDescent="0.25">
      <c r="A201" s="90">
        <v>2.1</v>
      </c>
      <c r="B201" s="93">
        <v>20</v>
      </c>
    </row>
    <row r="202" spans="1:2" x14ac:dyDescent="0.25">
      <c r="A202" s="90">
        <v>2.2000000000000002</v>
      </c>
      <c r="B202" s="93">
        <v>21</v>
      </c>
    </row>
    <row r="203" spans="1:2" x14ac:dyDescent="0.25">
      <c r="A203" s="90">
        <v>2.2999999999999998</v>
      </c>
      <c r="B203" s="93">
        <v>21.999999999999996</v>
      </c>
    </row>
    <row r="204" spans="1:2" x14ac:dyDescent="0.25">
      <c r="A204" s="90">
        <v>2.4</v>
      </c>
      <c r="B204" s="93">
        <v>22.999999999999996</v>
      </c>
    </row>
    <row r="205" spans="1:2" x14ac:dyDescent="0.25">
      <c r="A205" s="90">
        <v>2.5</v>
      </c>
      <c r="B205" s="93">
        <v>23.999999999999996</v>
      </c>
    </row>
    <row r="206" spans="1:2" x14ac:dyDescent="0.25">
      <c r="A206" s="90">
        <v>2.6</v>
      </c>
      <c r="B206" s="93">
        <v>25</v>
      </c>
    </row>
    <row r="207" spans="1:2" x14ac:dyDescent="0.25">
      <c r="A207" s="90">
        <v>2.7</v>
      </c>
      <c r="B207" s="93">
        <v>26</v>
      </c>
    </row>
    <row r="208" spans="1:2" x14ac:dyDescent="0.25">
      <c r="A208" s="90">
        <v>2.8</v>
      </c>
      <c r="B208" s="93">
        <v>27</v>
      </c>
    </row>
    <row r="209" spans="1:27" x14ac:dyDescent="0.25">
      <c r="A209" s="90">
        <v>2.9</v>
      </c>
      <c r="B209" s="93">
        <v>28</v>
      </c>
    </row>
    <row r="210" spans="1:27" x14ac:dyDescent="0.25">
      <c r="A210" s="90">
        <v>3</v>
      </c>
      <c r="B210" s="93">
        <v>29</v>
      </c>
    </row>
    <row r="212" spans="1:27" x14ac:dyDescent="0.25">
      <c r="A212" s="50">
        <v>1</v>
      </c>
      <c r="B212" s="51">
        <v>2</v>
      </c>
      <c r="C212" s="51">
        <v>3</v>
      </c>
      <c r="D212" s="51">
        <v>4</v>
      </c>
      <c r="E212" s="51">
        <v>5</v>
      </c>
      <c r="F212" s="51">
        <v>6</v>
      </c>
      <c r="G212" s="51">
        <v>7</v>
      </c>
      <c r="H212" s="51">
        <v>8</v>
      </c>
      <c r="I212" s="51">
        <v>9</v>
      </c>
      <c r="J212" s="51">
        <v>10</v>
      </c>
      <c r="K212" s="51">
        <v>11</v>
      </c>
      <c r="L212" s="51">
        <v>12</v>
      </c>
      <c r="M212" s="51">
        <v>13</v>
      </c>
      <c r="N212" s="51">
        <v>14</v>
      </c>
      <c r="O212" s="51">
        <v>15</v>
      </c>
      <c r="P212" s="51">
        <v>16</v>
      </c>
      <c r="Q212" s="51">
        <v>17</v>
      </c>
      <c r="R212" s="51">
        <v>18</v>
      </c>
      <c r="S212" s="51">
        <v>19</v>
      </c>
      <c r="T212" s="51">
        <v>20</v>
      </c>
      <c r="U212" s="51">
        <v>21</v>
      </c>
      <c r="V212" s="51">
        <v>22</v>
      </c>
      <c r="W212" s="51">
        <v>23</v>
      </c>
      <c r="X212" s="51">
        <v>24</v>
      </c>
      <c r="Y212" s="51">
        <v>25</v>
      </c>
      <c r="Z212" s="51">
        <v>26</v>
      </c>
      <c r="AA212" s="51">
        <v>27</v>
      </c>
    </row>
    <row r="213" spans="1:27" ht="51" x14ac:dyDescent="0.25">
      <c r="A213" s="114" t="s">
        <v>55</v>
      </c>
      <c r="B213" s="115" t="s">
        <v>194</v>
      </c>
      <c r="C213" s="115" t="s">
        <v>56</v>
      </c>
      <c r="D213" s="115" t="s">
        <v>245</v>
      </c>
      <c r="E213" s="115" t="s">
        <v>266</v>
      </c>
      <c r="F213" s="115" t="s">
        <v>184</v>
      </c>
      <c r="G213" s="115" t="s">
        <v>57</v>
      </c>
      <c r="H213" s="115" t="s">
        <v>195</v>
      </c>
      <c r="I213" s="115" t="s">
        <v>196</v>
      </c>
      <c r="J213" s="115" t="s">
        <v>197</v>
      </c>
      <c r="K213" s="115" t="s">
        <v>196</v>
      </c>
      <c r="L213" s="115" t="s">
        <v>168</v>
      </c>
      <c r="M213" s="115" t="s">
        <v>196</v>
      </c>
      <c r="N213" s="115" t="s">
        <v>169</v>
      </c>
      <c r="O213" s="115" t="s">
        <v>196</v>
      </c>
      <c r="P213" s="115" t="s">
        <v>12</v>
      </c>
      <c r="Q213" s="115" t="s">
        <v>46</v>
      </c>
      <c r="R213" s="115" t="s">
        <v>48</v>
      </c>
      <c r="S213" s="115" t="s">
        <v>199</v>
      </c>
    </row>
    <row r="214" spans="1:27" x14ac:dyDescent="0.25">
      <c r="A214" s="117" t="s">
        <v>45</v>
      </c>
      <c r="B214" s="118">
        <v>0</v>
      </c>
      <c r="C214" s="119">
        <v>0</v>
      </c>
      <c r="D214" s="119">
        <v>0</v>
      </c>
      <c r="E214" s="119">
        <v>0</v>
      </c>
      <c r="F214" s="118">
        <v>0</v>
      </c>
      <c r="G214" s="119">
        <v>0</v>
      </c>
      <c r="H214" s="118">
        <v>0</v>
      </c>
      <c r="I214" s="119">
        <v>0</v>
      </c>
      <c r="J214" s="118">
        <v>0</v>
      </c>
      <c r="K214" s="118">
        <v>0</v>
      </c>
      <c r="L214" s="118">
        <v>0</v>
      </c>
      <c r="M214" s="118">
        <v>0</v>
      </c>
      <c r="N214" s="118">
        <v>0</v>
      </c>
      <c r="O214" s="118">
        <v>0</v>
      </c>
      <c r="P214" s="131">
        <v>0</v>
      </c>
      <c r="Q214" s="116">
        <v>0</v>
      </c>
      <c r="R214" s="116">
        <v>0</v>
      </c>
      <c r="S214" s="116">
        <v>0</v>
      </c>
    </row>
    <row r="215" spans="1:27" x14ac:dyDescent="0.25">
      <c r="A215" s="117" t="s">
        <v>16</v>
      </c>
      <c r="B215" s="118">
        <v>14</v>
      </c>
      <c r="C215" s="119">
        <v>0.85</v>
      </c>
      <c r="D215" s="119">
        <v>0</v>
      </c>
      <c r="E215" s="119">
        <v>0.85</v>
      </c>
      <c r="F215" s="118">
        <v>2</v>
      </c>
      <c r="G215" s="119">
        <v>1.5</v>
      </c>
      <c r="H215" s="118">
        <v>2</v>
      </c>
      <c r="I215" s="119">
        <v>0.86</v>
      </c>
      <c r="J215" s="118">
        <v>2</v>
      </c>
      <c r="K215" s="119">
        <v>0.86</v>
      </c>
      <c r="L215" s="118">
        <v>3</v>
      </c>
      <c r="M215" s="118">
        <v>1.4</v>
      </c>
      <c r="N215" s="118">
        <v>3</v>
      </c>
      <c r="O215" s="118">
        <v>1.4</v>
      </c>
      <c r="P215" s="131">
        <v>50</v>
      </c>
      <c r="Q215" s="116">
        <v>1</v>
      </c>
      <c r="R215" s="116">
        <v>0</v>
      </c>
      <c r="S215" s="116">
        <v>0</v>
      </c>
    </row>
    <row r="216" spans="1:27" x14ac:dyDescent="0.25">
      <c r="A216" s="117" t="s">
        <v>185</v>
      </c>
      <c r="B216" s="118">
        <v>14</v>
      </c>
      <c r="C216" s="119">
        <v>1.36</v>
      </c>
      <c r="D216" s="119">
        <v>0</v>
      </c>
      <c r="E216" s="119">
        <v>1.36</v>
      </c>
      <c r="F216" s="118">
        <v>2</v>
      </c>
      <c r="G216" s="119">
        <v>1.5</v>
      </c>
      <c r="H216" s="118">
        <v>2</v>
      </c>
      <c r="I216" s="119">
        <v>1.37</v>
      </c>
      <c r="J216" s="118">
        <v>2</v>
      </c>
      <c r="K216" s="119">
        <v>1.37</v>
      </c>
      <c r="L216" s="118">
        <v>3</v>
      </c>
      <c r="M216" s="118">
        <v>1.4</v>
      </c>
      <c r="N216" s="118">
        <v>3</v>
      </c>
      <c r="O216" s="118">
        <v>1.4</v>
      </c>
      <c r="P216" s="131">
        <v>50</v>
      </c>
      <c r="Q216" s="116">
        <v>1</v>
      </c>
      <c r="R216" s="116">
        <v>0</v>
      </c>
      <c r="S216" s="116">
        <v>0</v>
      </c>
    </row>
    <row r="217" spans="1:27" x14ac:dyDescent="0.25">
      <c r="A217" s="117" t="s">
        <v>17</v>
      </c>
      <c r="B217" s="118">
        <v>16</v>
      </c>
      <c r="C217" s="119">
        <v>0.85</v>
      </c>
      <c r="D217" s="119">
        <v>2</v>
      </c>
      <c r="E217" s="119">
        <v>0.85</v>
      </c>
      <c r="F217" s="118">
        <v>2</v>
      </c>
      <c r="G217" s="119">
        <v>1.83</v>
      </c>
      <c r="H217" s="118">
        <v>2</v>
      </c>
      <c r="I217" s="119">
        <v>0.86</v>
      </c>
      <c r="J217" s="118">
        <v>2</v>
      </c>
      <c r="K217" s="119">
        <v>0.86</v>
      </c>
      <c r="L217" s="118">
        <v>3</v>
      </c>
      <c r="M217" s="118">
        <v>1.73</v>
      </c>
      <c r="N217" s="118">
        <v>3</v>
      </c>
      <c r="O217" s="118">
        <v>1.73</v>
      </c>
      <c r="P217" s="131">
        <v>55</v>
      </c>
      <c r="Q217" s="116">
        <v>0</v>
      </c>
      <c r="R217" s="116">
        <v>1</v>
      </c>
      <c r="S217" s="116">
        <v>0</v>
      </c>
    </row>
    <row r="218" spans="1:27" x14ac:dyDescent="0.25">
      <c r="A218" s="117" t="s">
        <v>186</v>
      </c>
      <c r="B218" s="118">
        <v>16</v>
      </c>
      <c r="C218" s="119">
        <v>1.36</v>
      </c>
      <c r="D218" s="119">
        <v>2</v>
      </c>
      <c r="E218" s="119">
        <v>1.36</v>
      </c>
      <c r="F218" s="118">
        <v>2</v>
      </c>
      <c r="G218" s="119">
        <v>1.83</v>
      </c>
      <c r="H218" s="118">
        <v>2</v>
      </c>
      <c r="I218" s="119">
        <v>1.37</v>
      </c>
      <c r="J218" s="118">
        <v>2</v>
      </c>
      <c r="K218" s="119">
        <v>1.37</v>
      </c>
      <c r="L218" s="118">
        <v>3</v>
      </c>
      <c r="M218" s="118">
        <v>1.73</v>
      </c>
      <c r="N218" s="118">
        <v>3</v>
      </c>
      <c r="O218" s="118">
        <v>1.73</v>
      </c>
      <c r="P218" s="131">
        <v>55</v>
      </c>
      <c r="Q218" s="116">
        <v>0</v>
      </c>
      <c r="R218" s="116">
        <v>1</v>
      </c>
      <c r="S218" s="116">
        <v>0</v>
      </c>
    </row>
    <row r="219" spans="1:27" x14ac:dyDescent="0.25">
      <c r="A219" s="117" t="s">
        <v>187</v>
      </c>
      <c r="B219" s="118">
        <v>21</v>
      </c>
      <c r="C219" s="119">
        <v>0.85</v>
      </c>
      <c r="D219" s="119">
        <v>2</v>
      </c>
      <c r="E219" s="119">
        <v>0.85</v>
      </c>
      <c r="F219" s="118">
        <v>2</v>
      </c>
      <c r="G219" s="119">
        <v>2.33</v>
      </c>
      <c r="H219" s="118">
        <v>2</v>
      </c>
      <c r="I219" s="119">
        <v>0.86</v>
      </c>
      <c r="J219" s="118">
        <v>2</v>
      </c>
      <c r="K219" s="119">
        <v>0.86</v>
      </c>
      <c r="L219" s="118">
        <v>3</v>
      </c>
      <c r="M219" s="118">
        <v>2.23</v>
      </c>
      <c r="N219" s="118">
        <v>3</v>
      </c>
      <c r="O219" s="118">
        <v>2.23</v>
      </c>
      <c r="P219" s="131">
        <v>60</v>
      </c>
      <c r="Q219" s="116">
        <v>0</v>
      </c>
      <c r="R219" s="116">
        <v>0</v>
      </c>
      <c r="S219" s="116">
        <v>1</v>
      </c>
    </row>
    <row r="220" spans="1:27" ht="51" x14ac:dyDescent="0.25">
      <c r="A220" s="120" t="s">
        <v>47</v>
      </c>
      <c r="B220" s="115" t="s">
        <v>247</v>
      </c>
      <c r="C220" s="115" t="s">
        <v>249</v>
      </c>
      <c r="D220" s="115" t="s">
        <v>251</v>
      </c>
      <c r="E220" s="115" t="s">
        <v>252</v>
      </c>
      <c r="F220" s="115" t="s">
        <v>184</v>
      </c>
      <c r="G220" s="115" t="s">
        <v>57</v>
      </c>
      <c r="H220" s="115" t="s">
        <v>255</v>
      </c>
      <c r="I220" s="115" t="s">
        <v>256</v>
      </c>
      <c r="J220" s="115" t="s">
        <v>257</v>
      </c>
      <c r="K220" s="115" t="s">
        <v>256</v>
      </c>
      <c r="L220" s="115" t="s">
        <v>168</v>
      </c>
      <c r="M220" s="115" t="s">
        <v>196</v>
      </c>
      <c r="N220" s="115" t="s">
        <v>169</v>
      </c>
      <c r="O220" s="115" t="s">
        <v>196</v>
      </c>
      <c r="P220" s="115" t="s">
        <v>12</v>
      </c>
      <c r="Q220" s="115" t="s">
        <v>46</v>
      </c>
      <c r="R220" s="115" t="s">
        <v>48</v>
      </c>
      <c r="S220" s="115" t="s">
        <v>199</v>
      </c>
      <c r="T220" s="115" t="s">
        <v>248</v>
      </c>
      <c r="U220" s="115" t="s">
        <v>250</v>
      </c>
      <c r="V220" s="115" t="s">
        <v>253</v>
      </c>
      <c r="W220" s="115" t="s">
        <v>254</v>
      </c>
      <c r="X220" s="115" t="s">
        <v>258</v>
      </c>
      <c r="Y220" s="115" t="s">
        <v>259</v>
      </c>
      <c r="Z220" s="115" t="s">
        <v>260</v>
      </c>
      <c r="AA220" s="115" t="s">
        <v>259</v>
      </c>
    </row>
    <row r="221" spans="1:27" x14ac:dyDescent="0.25">
      <c r="A221" s="117" t="s">
        <v>45</v>
      </c>
      <c r="B221" s="118">
        <v>0</v>
      </c>
      <c r="C221" s="119">
        <v>0</v>
      </c>
      <c r="D221" s="119">
        <v>0</v>
      </c>
      <c r="E221" s="119">
        <v>0</v>
      </c>
      <c r="F221" s="118">
        <v>0</v>
      </c>
      <c r="G221" s="119">
        <v>0</v>
      </c>
      <c r="H221" s="118">
        <v>0</v>
      </c>
      <c r="I221" s="130">
        <v>0</v>
      </c>
      <c r="J221" s="118">
        <v>0</v>
      </c>
      <c r="K221" s="118">
        <v>0</v>
      </c>
      <c r="L221" s="118">
        <v>0</v>
      </c>
      <c r="M221" s="118">
        <v>0</v>
      </c>
      <c r="N221" s="118">
        <v>0</v>
      </c>
      <c r="O221" s="118">
        <v>0</v>
      </c>
      <c r="P221" s="131">
        <v>0</v>
      </c>
      <c r="Q221" s="116">
        <v>0</v>
      </c>
      <c r="R221" s="116">
        <v>0</v>
      </c>
      <c r="S221" s="116">
        <v>0</v>
      </c>
      <c r="T221" s="116"/>
      <c r="U221" s="116"/>
      <c r="V221" s="116"/>
      <c r="W221" s="116"/>
      <c r="X221" s="116"/>
      <c r="Y221" s="116"/>
      <c r="Z221" s="116"/>
      <c r="AA221" s="116"/>
    </row>
    <row r="222" spans="1:27" x14ac:dyDescent="0.25">
      <c r="A222" s="117" t="s">
        <v>19</v>
      </c>
      <c r="B222" s="118">
        <v>28</v>
      </c>
      <c r="C222" s="132">
        <v>1.66</v>
      </c>
      <c r="D222" s="119">
        <v>0</v>
      </c>
      <c r="E222" s="132">
        <v>1.66</v>
      </c>
      <c r="F222" s="118">
        <v>4</v>
      </c>
      <c r="G222" s="119">
        <v>1.5</v>
      </c>
      <c r="H222" s="118">
        <v>4</v>
      </c>
      <c r="I222" s="133">
        <v>1.67</v>
      </c>
      <c r="J222" s="118">
        <v>4</v>
      </c>
      <c r="K222" s="133">
        <v>1.67</v>
      </c>
      <c r="L222" s="118">
        <v>8</v>
      </c>
      <c r="M222" s="118">
        <v>1.4</v>
      </c>
      <c r="N222" s="118">
        <v>8</v>
      </c>
      <c r="O222" s="118">
        <v>1.4</v>
      </c>
      <c r="P222" s="131">
        <v>100</v>
      </c>
      <c r="Q222" s="116">
        <v>2</v>
      </c>
      <c r="R222" s="116">
        <v>0</v>
      </c>
      <c r="S222" s="116">
        <v>0</v>
      </c>
      <c r="T222" s="116"/>
      <c r="U222" s="116"/>
      <c r="V222" s="116"/>
      <c r="W222" s="116"/>
      <c r="X222" s="116"/>
      <c r="Y222" s="116"/>
      <c r="Z222" s="116"/>
      <c r="AA222" s="116"/>
    </row>
    <row r="223" spans="1:27" x14ac:dyDescent="0.25">
      <c r="A223" s="117" t="s">
        <v>188</v>
      </c>
      <c r="B223" s="118">
        <v>28</v>
      </c>
      <c r="C223" s="119">
        <v>1.86</v>
      </c>
      <c r="D223" s="119">
        <v>0</v>
      </c>
      <c r="E223" s="119">
        <v>1.86</v>
      </c>
      <c r="F223" s="118">
        <v>4</v>
      </c>
      <c r="G223" s="119">
        <v>1.5</v>
      </c>
      <c r="H223" s="118">
        <v>4</v>
      </c>
      <c r="I223" s="134">
        <v>1.86</v>
      </c>
      <c r="J223" s="118">
        <v>4</v>
      </c>
      <c r="K223" s="134">
        <v>1.86</v>
      </c>
      <c r="L223" s="118">
        <v>8</v>
      </c>
      <c r="M223" s="118">
        <v>1.4</v>
      </c>
      <c r="N223" s="118">
        <v>8</v>
      </c>
      <c r="O223" s="118">
        <v>1.4</v>
      </c>
      <c r="P223" s="131">
        <v>100</v>
      </c>
      <c r="Q223" s="116">
        <v>2</v>
      </c>
      <c r="R223" s="116">
        <v>0</v>
      </c>
      <c r="S223" s="116">
        <v>0</v>
      </c>
      <c r="T223" s="116"/>
      <c r="U223" s="116"/>
      <c r="V223" s="116"/>
      <c r="W223" s="116"/>
      <c r="X223" s="116"/>
      <c r="Y223" s="116"/>
      <c r="Z223" s="116"/>
      <c r="AA223" s="116"/>
    </row>
    <row r="224" spans="1:27" x14ac:dyDescent="0.25">
      <c r="A224" s="117" t="s">
        <v>20</v>
      </c>
      <c r="B224" s="118">
        <v>32</v>
      </c>
      <c r="C224" s="132">
        <v>1.66</v>
      </c>
      <c r="D224" s="119">
        <v>4</v>
      </c>
      <c r="E224" s="132">
        <v>1.66</v>
      </c>
      <c r="F224" s="118">
        <v>4</v>
      </c>
      <c r="G224" s="119">
        <v>1.83</v>
      </c>
      <c r="H224" s="118">
        <v>4</v>
      </c>
      <c r="I224" s="133">
        <v>1.67</v>
      </c>
      <c r="J224" s="118">
        <v>4</v>
      </c>
      <c r="K224" s="133">
        <v>1.67</v>
      </c>
      <c r="L224" s="118">
        <v>8</v>
      </c>
      <c r="M224" s="118">
        <v>1.73</v>
      </c>
      <c r="N224" s="118">
        <v>8</v>
      </c>
      <c r="O224" s="118">
        <v>1.73</v>
      </c>
      <c r="P224" s="131">
        <v>110</v>
      </c>
      <c r="Q224" s="116">
        <v>0</v>
      </c>
      <c r="R224" s="116">
        <v>2</v>
      </c>
      <c r="S224" s="116">
        <v>0</v>
      </c>
      <c r="T224" s="116"/>
      <c r="U224" s="116"/>
      <c r="V224" s="116"/>
      <c r="W224" s="116"/>
      <c r="X224" s="116"/>
      <c r="Y224" s="116"/>
      <c r="Z224" s="116"/>
      <c r="AA224" s="116"/>
    </row>
    <row r="225" spans="1:27" x14ac:dyDescent="0.25">
      <c r="A225" s="117" t="s">
        <v>189</v>
      </c>
      <c r="B225" s="118">
        <v>32</v>
      </c>
      <c r="C225" s="119">
        <v>1.86</v>
      </c>
      <c r="D225" s="119">
        <v>4</v>
      </c>
      <c r="E225" s="119">
        <v>1.86</v>
      </c>
      <c r="F225" s="118">
        <v>4</v>
      </c>
      <c r="G225" s="119">
        <v>1.83</v>
      </c>
      <c r="H225" s="118">
        <v>4</v>
      </c>
      <c r="I225" s="133">
        <v>1.67</v>
      </c>
      <c r="J225" s="118">
        <v>4</v>
      </c>
      <c r="K225" s="133">
        <v>1.67</v>
      </c>
      <c r="L225" s="118">
        <v>8</v>
      </c>
      <c r="M225" s="118">
        <v>1.73</v>
      </c>
      <c r="N225" s="118">
        <v>8</v>
      </c>
      <c r="O225" s="118">
        <v>1.73</v>
      </c>
      <c r="P225" s="131">
        <v>110</v>
      </c>
      <c r="Q225" s="116">
        <v>0</v>
      </c>
      <c r="R225" s="116">
        <v>2</v>
      </c>
      <c r="S225" s="116">
        <v>0</v>
      </c>
      <c r="T225" s="116"/>
      <c r="U225" s="116"/>
      <c r="V225" s="116"/>
      <c r="W225" s="116"/>
      <c r="X225" s="116"/>
      <c r="Y225" s="116"/>
      <c r="Z225" s="116"/>
      <c r="AA225" s="116"/>
    </row>
    <row r="226" spans="1:27" x14ac:dyDescent="0.25">
      <c r="A226" s="117" t="s">
        <v>21</v>
      </c>
      <c r="B226" s="118">
        <v>26</v>
      </c>
      <c r="C226" s="132">
        <v>1.66</v>
      </c>
      <c r="D226" s="119">
        <v>0</v>
      </c>
      <c r="E226" s="132">
        <v>1.66</v>
      </c>
      <c r="F226" s="118">
        <v>4</v>
      </c>
      <c r="G226" s="132">
        <v>1.39</v>
      </c>
      <c r="H226" s="118">
        <v>4</v>
      </c>
      <c r="I226" s="133">
        <v>1.67</v>
      </c>
      <c r="J226" s="118">
        <v>4</v>
      </c>
      <c r="K226" s="133">
        <v>1.67</v>
      </c>
      <c r="L226" s="118">
        <v>8</v>
      </c>
      <c r="M226" s="132">
        <v>1.29</v>
      </c>
      <c r="N226" s="118">
        <v>8</v>
      </c>
      <c r="O226" s="132">
        <v>1.29</v>
      </c>
      <c r="P226" s="131">
        <v>100</v>
      </c>
      <c r="Q226" s="116">
        <v>0</v>
      </c>
      <c r="R226" s="116">
        <v>0</v>
      </c>
      <c r="S226" s="116">
        <v>0</v>
      </c>
      <c r="T226" s="116"/>
      <c r="U226" s="116"/>
      <c r="V226" s="116"/>
      <c r="W226" s="116"/>
      <c r="X226" s="116"/>
      <c r="Y226" s="116"/>
      <c r="Z226" s="116"/>
      <c r="AA226" s="116"/>
    </row>
    <row r="227" spans="1:27" x14ac:dyDescent="0.25">
      <c r="A227" s="117" t="s">
        <v>22</v>
      </c>
      <c r="B227" s="118">
        <v>26</v>
      </c>
      <c r="C227" s="132">
        <v>1.92</v>
      </c>
      <c r="D227" s="119">
        <v>0</v>
      </c>
      <c r="E227" s="132">
        <v>1.92</v>
      </c>
      <c r="F227" s="118">
        <v>4</v>
      </c>
      <c r="G227" s="132">
        <v>1.39</v>
      </c>
      <c r="H227" s="118">
        <v>4</v>
      </c>
      <c r="I227" s="133">
        <v>1.93</v>
      </c>
      <c r="J227" s="118">
        <v>4</v>
      </c>
      <c r="K227" s="133">
        <v>1.93</v>
      </c>
      <c r="L227" s="118">
        <v>8</v>
      </c>
      <c r="M227" s="132">
        <v>1.29</v>
      </c>
      <c r="N227" s="118">
        <v>8</v>
      </c>
      <c r="O227" s="132">
        <v>1.29</v>
      </c>
      <c r="P227" s="131">
        <v>100</v>
      </c>
      <c r="Q227" s="116">
        <v>0</v>
      </c>
      <c r="R227" s="116">
        <v>0</v>
      </c>
      <c r="S227" s="116">
        <v>0</v>
      </c>
      <c r="T227" s="116"/>
      <c r="U227" s="116"/>
      <c r="V227" s="116"/>
      <c r="W227" s="116"/>
      <c r="X227" s="116"/>
      <c r="Y227" s="116"/>
      <c r="Z227" s="116"/>
      <c r="AA227" s="116"/>
    </row>
    <row r="228" spans="1:27" x14ac:dyDescent="0.25">
      <c r="A228" s="117" t="s">
        <v>23</v>
      </c>
      <c r="B228" s="118">
        <v>26</v>
      </c>
      <c r="C228" s="132">
        <v>2.12</v>
      </c>
      <c r="D228" s="119">
        <v>0</v>
      </c>
      <c r="E228" s="132">
        <v>2.12</v>
      </c>
      <c r="F228" s="118">
        <v>4</v>
      </c>
      <c r="G228" s="132">
        <v>1.39</v>
      </c>
      <c r="H228" s="118">
        <v>4</v>
      </c>
      <c r="I228" s="133">
        <v>2.13</v>
      </c>
      <c r="J228" s="118">
        <v>4</v>
      </c>
      <c r="K228" s="133">
        <v>2.13</v>
      </c>
      <c r="L228" s="118">
        <v>8</v>
      </c>
      <c r="M228" s="132">
        <v>1.29</v>
      </c>
      <c r="N228" s="118">
        <v>8</v>
      </c>
      <c r="O228" s="132">
        <v>1.29</v>
      </c>
      <c r="P228" s="131">
        <v>100</v>
      </c>
      <c r="Q228" s="116">
        <v>0</v>
      </c>
      <c r="R228" s="116">
        <v>0</v>
      </c>
      <c r="S228" s="116">
        <v>0</v>
      </c>
      <c r="T228" s="116"/>
      <c r="U228" s="116"/>
      <c r="V228" s="116"/>
      <c r="W228" s="116"/>
      <c r="X228" s="116"/>
      <c r="Y228" s="116"/>
      <c r="Z228" s="116"/>
      <c r="AA228" s="116"/>
    </row>
    <row r="229" spans="1:27" x14ac:dyDescent="0.25">
      <c r="A229" s="117" t="s">
        <v>24</v>
      </c>
      <c r="B229" s="118">
        <v>30</v>
      </c>
      <c r="C229" s="132">
        <v>1.66</v>
      </c>
      <c r="D229" s="119">
        <v>4</v>
      </c>
      <c r="E229" s="132">
        <v>1.66</v>
      </c>
      <c r="F229" s="118">
        <v>4</v>
      </c>
      <c r="G229" s="132">
        <v>1.72</v>
      </c>
      <c r="H229" s="118">
        <v>4</v>
      </c>
      <c r="I229" s="133">
        <v>1.67</v>
      </c>
      <c r="J229" s="118">
        <v>4</v>
      </c>
      <c r="K229" s="133">
        <v>1.67</v>
      </c>
      <c r="L229" s="118">
        <v>8</v>
      </c>
      <c r="M229" s="132">
        <v>1.62</v>
      </c>
      <c r="N229" s="118">
        <v>8</v>
      </c>
      <c r="O229" s="132">
        <v>1.62</v>
      </c>
      <c r="P229" s="131">
        <v>110</v>
      </c>
      <c r="Q229" s="116">
        <v>0</v>
      </c>
      <c r="R229" s="116">
        <v>0</v>
      </c>
      <c r="S229" s="116">
        <v>0</v>
      </c>
      <c r="T229" s="116"/>
      <c r="U229" s="116"/>
      <c r="V229" s="116"/>
      <c r="W229" s="116"/>
      <c r="X229" s="116"/>
      <c r="Y229" s="116"/>
      <c r="Z229" s="116"/>
      <c r="AA229" s="116"/>
    </row>
    <row r="230" spans="1:27" x14ac:dyDescent="0.25">
      <c r="A230" s="117" t="s">
        <v>25</v>
      </c>
      <c r="B230" s="118">
        <v>30</v>
      </c>
      <c r="C230" s="132">
        <v>1.92</v>
      </c>
      <c r="D230" s="119">
        <v>4</v>
      </c>
      <c r="E230" s="132">
        <v>1.92</v>
      </c>
      <c r="F230" s="118">
        <v>4</v>
      </c>
      <c r="G230" s="132">
        <v>1.72</v>
      </c>
      <c r="H230" s="118">
        <v>4</v>
      </c>
      <c r="I230" s="133">
        <v>1.93</v>
      </c>
      <c r="J230" s="118">
        <v>4</v>
      </c>
      <c r="K230" s="133">
        <v>1.93</v>
      </c>
      <c r="L230" s="118">
        <v>8</v>
      </c>
      <c r="M230" s="132">
        <v>1.62</v>
      </c>
      <c r="N230" s="118">
        <v>8</v>
      </c>
      <c r="O230" s="132">
        <v>1.62</v>
      </c>
      <c r="P230" s="131">
        <v>110</v>
      </c>
      <c r="Q230" s="116">
        <v>0</v>
      </c>
      <c r="R230" s="116">
        <v>0</v>
      </c>
      <c r="S230" s="116">
        <v>0</v>
      </c>
      <c r="T230" s="116"/>
      <c r="U230" s="116"/>
      <c r="V230" s="116"/>
      <c r="W230" s="116"/>
      <c r="X230" s="116"/>
      <c r="Y230" s="116"/>
      <c r="Z230" s="116"/>
      <c r="AA230" s="116"/>
    </row>
    <row r="231" spans="1:27" x14ac:dyDescent="0.25">
      <c r="A231" s="117" t="s">
        <v>26</v>
      </c>
      <c r="B231" s="118">
        <v>30</v>
      </c>
      <c r="C231" s="132">
        <v>2.12</v>
      </c>
      <c r="D231" s="119">
        <v>4</v>
      </c>
      <c r="E231" s="132">
        <v>2.12</v>
      </c>
      <c r="F231" s="118">
        <v>4</v>
      </c>
      <c r="G231" s="132">
        <v>1.72</v>
      </c>
      <c r="H231" s="118">
        <v>4</v>
      </c>
      <c r="I231" s="133">
        <v>2.13</v>
      </c>
      <c r="J231" s="118">
        <v>4</v>
      </c>
      <c r="K231" s="133">
        <v>2.13</v>
      </c>
      <c r="L231" s="118">
        <v>8</v>
      </c>
      <c r="M231" s="132">
        <v>1.62</v>
      </c>
      <c r="N231" s="118">
        <v>8</v>
      </c>
      <c r="O231" s="132">
        <v>1.62</v>
      </c>
      <c r="P231" s="131">
        <v>110</v>
      </c>
      <c r="Q231" s="116">
        <v>0</v>
      </c>
      <c r="R231" s="116">
        <v>0</v>
      </c>
      <c r="S231" s="116">
        <v>0</v>
      </c>
      <c r="T231" s="116"/>
      <c r="U231" s="116"/>
      <c r="V231" s="116"/>
      <c r="W231" s="116"/>
      <c r="X231" s="116"/>
      <c r="Y231" s="116"/>
      <c r="Z231" s="116"/>
      <c r="AA231" s="116"/>
    </row>
    <row r="232" spans="1:27" s="124" customFormat="1" x14ac:dyDescent="0.25">
      <c r="A232" s="121" t="s">
        <v>241</v>
      </c>
      <c r="B232" s="122">
        <v>32</v>
      </c>
      <c r="C232" s="135">
        <v>1.4</v>
      </c>
      <c r="D232" s="123">
        <v>4</v>
      </c>
      <c r="E232" s="135">
        <v>1.4</v>
      </c>
      <c r="F232" s="122">
        <v>6</v>
      </c>
      <c r="G232" s="135">
        <v>1.72</v>
      </c>
      <c r="H232" s="122">
        <v>4</v>
      </c>
      <c r="I232" s="136">
        <v>1.41</v>
      </c>
      <c r="J232" s="122">
        <v>4</v>
      </c>
      <c r="K232" s="136">
        <v>1.41</v>
      </c>
      <c r="L232" s="122">
        <v>4</v>
      </c>
      <c r="M232" s="135">
        <v>1.62</v>
      </c>
      <c r="N232" s="122">
        <v>4</v>
      </c>
      <c r="O232" s="135">
        <v>1.62</v>
      </c>
      <c r="P232" s="137">
        <v>150</v>
      </c>
      <c r="Q232" s="138"/>
      <c r="R232" s="138"/>
      <c r="S232" s="138"/>
      <c r="T232" s="138">
        <v>16</v>
      </c>
      <c r="U232" s="138">
        <v>1.9</v>
      </c>
      <c r="V232" s="138">
        <v>2</v>
      </c>
      <c r="W232" s="138">
        <v>1.9</v>
      </c>
      <c r="X232" s="138">
        <v>2</v>
      </c>
      <c r="Y232" s="138">
        <v>1.91</v>
      </c>
      <c r="Z232" s="138">
        <v>2</v>
      </c>
      <c r="AA232" s="138">
        <v>1.91</v>
      </c>
    </row>
    <row r="233" spans="1:27" s="124" customFormat="1" x14ac:dyDescent="0.25">
      <c r="A233" s="121" t="s">
        <v>242</v>
      </c>
      <c r="B233" s="122">
        <v>16</v>
      </c>
      <c r="C233" s="135">
        <v>1.4</v>
      </c>
      <c r="D233" s="123">
        <v>2</v>
      </c>
      <c r="E233" s="135">
        <v>1.4</v>
      </c>
      <c r="F233" s="122">
        <v>6</v>
      </c>
      <c r="G233" s="135">
        <v>1.72</v>
      </c>
      <c r="H233" s="122">
        <v>2</v>
      </c>
      <c r="I233" s="136">
        <v>1.41</v>
      </c>
      <c r="J233" s="122">
        <v>2</v>
      </c>
      <c r="K233" s="136">
        <v>1.41</v>
      </c>
      <c r="L233" s="122">
        <v>5</v>
      </c>
      <c r="M233" s="135">
        <v>1.62</v>
      </c>
      <c r="N233" s="122">
        <v>5</v>
      </c>
      <c r="O233" s="135">
        <v>1.62</v>
      </c>
      <c r="P233" s="137">
        <v>150</v>
      </c>
      <c r="Q233" s="138"/>
      <c r="R233" s="138"/>
      <c r="S233" s="138"/>
      <c r="T233" s="138">
        <v>32</v>
      </c>
      <c r="U233" s="138">
        <v>1.9</v>
      </c>
      <c r="V233" s="138">
        <v>4</v>
      </c>
      <c r="W233" s="138">
        <v>1.9</v>
      </c>
      <c r="X233" s="138">
        <v>4</v>
      </c>
      <c r="Y233" s="138">
        <v>1.91</v>
      </c>
      <c r="Z233" s="138">
        <v>4</v>
      </c>
      <c r="AA233" s="138">
        <v>1.91</v>
      </c>
    </row>
    <row r="234" spans="1:27" s="124" customFormat="1" x14ac:dyDescent="0.25">
      <c r="A234" s="121" t="s">
        <v>243</v>
      </c>
      <c r="B234" s="122">
        <v>48</v>
      </c>
      <c r="C234" s="135">
        <v>1.9</v>
      </c>
      <c r="D234" s="123">
        <v>6</v>
      </c>
      <c r="E234" s="135">
        <v>1.9</v>
      </c>
      <c r="F234" s="122">
        <v>6</v>
      </c>
      <c r="G234" s="135">
        <v>1.72</v>
      </c>
      <c r="H234" s="122">
        <v>6</v>
      </c>
      <c r="I234" s="136">
        <v>1.91</v>
      </c>
      <c r="J234" s="122">
        <v>6</v>
      </c>
      <c r="K234" s="136">
        <v>1.91</v>
      </c>
      <c r="L234" s="122">
        <v>6</v>
      </c>
      <c r="M234" s="135">
        <v>1.62</v>
      </c>
      <c r="N234" s="122">
        <v>6</v>
      </c>
      <c r="O234" s="135">
        <v>1.62</v>
      </c>
      <c r="P234" s="137">
        <v>150</v>
      </c>
      <c r="Q234" s="138"/>
      <c r="R234" s="138"/>
      <c r="S234" s="138"/>
      <c r="T234" s="138"/>
      <c r="U234" s="138"/>
      <c r="V234" s="138"/>
      <c r="W234" s="138"/>
      <c r="X234" s="138"/>
      <c r="Y234" s="138"/>
      <c r="Z234" s="138"/>
      <c r="AA234" s="138"/>
    </row>
    <row r="235" spans="1:27" s="124" customFormat="1" x14ac:dyDescent="0.25">
      <c r="A235" s="121" t="s">
        <v>27</v>
      </c>
      <c r="B235" s="122">
        <v>26</v>
      </c>
      <c r="C235" s="123">
        <v>1.66</v>
      </c>
      <c r="D235" s="123">
        <v>0</v>
      </c>
      <c r="E235" s="123">
        <v>1.66</v>
      </c>
      <c r="F235" s="122">
        <v>4</v>
      </c>
      <c r="G235" s="123">
        <v>1.39</v>
      </c>
      <c r="H235" s="122">
        <v>4</v>
      </c>
      <c r="I235" s="151">
        <v>1.67</v>
      </c>
      <c r="J235" s="122">
        <v>4</v>
      </c>
      <c r="K235" s="151">
        <v>1.67</v>
      </c>
      <c r="L235" s="122">
        <v>8</v>
      </c>
      <c r="M235" s="122">
        <v>1.29</v>
      </c>
      <c r="N235" s="122">
        <v>8</v>
      </c>
      <c r="O235" s="122">
        <v>1.29</v>
      </c>
      <c r="P235" s="137">
        <v>100</v>
      </c>
      <c r="Q235" s="138">
        <v>0</v>
      </c>
      <c r="R235" s="138">
        <v>0</v>
      </c>
      <c r="S235" s="138">
        <v>0</v>
      </c>
      <c r="T235" s="138"/>
      <c r="U235" s="138"/>
      <c r="V235" s="138"/>
      <c r="W235" s="138"/>
      <c r="X235" s="138"/>
      <c r="Y235" s="138"/>
      <c r="Z235" s="138"/>
      <c r="AA235" s="138"/>
    </row>
    <row r="236" spans="1:27" s="124" customFormat="1" x14ac:dyDescent="0.25">
      <c r="A236" s="121" t="s">
        <v>28</v>
      </c>
      <c r="B236" s="122">
        <v>26</v>
      </c>
      <c r="C236" s="123">
        <v>1.92</v>
      </c>
      <c r="D236" s="123">
        <v>0</v>
      </c>
      <c r="E236" s="123">
        <v>1.92</v>
      </c>
      <c r="F236" s="122">
        <v>4</v>
      </c>
      <c r="G236" s="123">
        <v>1.39</v>
      </c>
      <c r="H236" s="122">
        <v>4</v>
      </c>
      <c r="I236" s="136">
        <v>1.93</v>
      </c>
      <c r="J236" s="122">
        <v>4</v>
      </c>
      <c r="K236" s="136">
        <v>1.93</v>
      </c>
      <c r="L236" s="122">
        <v>8</v>
      </c>
      <c r="M236" s="122">
        <v>1.29</v>
      </c>
      <c r="N236" s="122">
        <v>8</v>
      </c>
      <c r="O236" s="122">
        <v>1.29</v>
      </c>
      <c r="P236" s="137">
        <v>100</v>
      </c>
      <c r="Q236" s="138">
        <v>0</v>
      </c>
      <c r="R236" s="138">
        <v>0</v>
      </c>
      <c r="S236" s="138">
        <v>0</v>
      </c>
      <c r="T236" s="138"/>
      <c r="U236" s="138"/>
      <c r="V236" s="138"/>
      <c r="W236" s="138"/>
      <c r="X236" s="138"/>
      <c r="Y236" s="138"/>
      <c r="Z236" s="138"/>
      <c r="AA236" s="138"/>
    </row>
    <row r="237" spans="1:27" s="124" customFormat="1" x14ac:dyDescent="0.25">
      <c r="A237" s="121" t="s">
        <v>29</v>
      </c>
      <c r="B237" s="122">
        <v>26</v>
      </c>
      <c r="C237" s="123">
        <v>2.12</v>
      </c>
      <c r="D237" s="123">
        <v>0</v>
      </c>
      <c r="E237" s="123">
        <v>2.12</v>
      </c>
      <c r="F237" s="122">
        <v>4</v>
      </c>
      <c r="G237" s="123">
        <v>1.39</v>
      </c>
      <c r="H237" s="122">
        <v>4</v>
      </c>
      <c r="I237" s="151">
        <v>2.13</v>
      </c>
      <c r="J237" s="122">
        <v>4</v>
      </c>
      <c r="K237" s="151">
        <v>2.13</v>
      </c>
      <c r="L237" s="122">
        <v>8</v>
      </c>
      <c r="M237" s="122">
        <v>1.29</v>
      </c>
      <c r="N237" s="122">
        <v>8</v>
      </c>
      <c r="O237" s="122">
        <v>1.29</v>
      </c>
      <c r="P237" s="137">
        <v>100</v>
      </c>
      <c r="Q237" s="138">
        <v>0</v>
      </c>
      <c r="R237" s="138">
        <v>0</v>
      </c>
      <c r="S237" s="138">
        <v>0</v>
      </c>
      <c r="T237" s="138"/>
      <c r="U237" s="138"/>
      <c r="V237" s="138"/>
      <c r="W237" s="138"/>
      <c r="X237" s="138"/>
      <c r="Y237" s="138"/>
      <c r="Z237" s="138"/>
      <c r="AA237" s="138"/>
    </row>
    <row r="238" spans="1:27" s="124" customFormat="1" x14ac:dyDescent="0.25">
      <c r="A238" s="121" t="s">
        <v>31</v>
      </c>
      <c r="B238" s="122">
        <v>30</v>
      </c>
      <c r="C238" s="123">
        <v>1.66</v>
      </c>
      <c r="D238" s="123">
        <v>4</v>
      </c>
      <c r="E238" s="123">
        <v>1.66</v>
      </c>
      <c r="F238" s="122">
        <v>4</v>
      </c>
      <c r="G238" s="123">
        <v>1.72</v>
      </c>
      <c r="H238" s="122">
        <v>4</v>
      </c>
      <c r="I238" s="151">
        <v>1.67</v>
      </c>
      <c r="J238" s="122">
        <v>4</v>
      </c>
      <c r="K238" s="151">
        <v>1.67</v>
      </c>
      <c r="L238" s="122">
        <v>8</v>
      </c>
      <c r="M238" s="122">
        <v>1.62</v>
      </c>
      <c r="N238" s="122">
        <v>8</v>
      </c>
      <c r="O238" s="122">
        <v>1.62</v>
      </c>
      <c r="P238" s="137">
        <v>110</v>
      </c>
      <c r="Q238" s="138">
        <v>0</v>
      </c>
      <c r="R238" s="138">
        <v>0</v>
      </c>
      <c r="S238" s="138">
        <v>0</v>
      </c>
      <c r="T238" s="138"/>
      <c r="U238" s="138"/>
      <c r="V238" s="138"/>
      <c r="W238" s="138"/>
      <c r="X238" s="138"/>
      <c r="Y238" s="138"/>
      <c r="Z238" s="138"/>
      <c r="AA238" s="138"/>
    </row>
    <row r="239" spans="1:27" s="124" customFormat="1" x14ac:dyDescent="0.25">
      <c r="A239" s="121" t="s">
        <v>36</v>
      </c>
      <c r="B239" s="122">
        <v>30</v>
      </c>
      <c r="C239" s="123">
        <v>1.92</v>
      </c>
      <c r="D239" s="123">
        <v>4</v>
      </c>
      <c r="E239" s="123">
        <v>1.92</v>
      </c>
      <c r="F239" s="122">
        <v>4</v>
      </c>
      <c r="G239" s="123">
        <v>1.72</v>
      </c>
      <c r="H239" s="122">
        <v>4</v>
      </c>
      <c r="I239" s="136">
        <v>1.93</v>
      </c>
      <c r="J239" s="122">
        <v>4</v>
      </c>
      <c r="K239" s="136">
        <v>1.93</v>
      </c>
      <c r="L239" s="122">
        <v>8</v>
      </c>
      <c r="M239" s="122">
        <v>1.62</v>
      </c>
      <c r="N239" s="122">
        <v>8</v>
      </c>
      <c r="O239" s="122">
        <v>1.62</v>
      </c>
      <c r="P239" s="137">
        <v>110</v>
      </c>
      <c r="Q239" s="138">
        <v>0</v>
      </c>
      <c r="R239" s="138">
        <v>0</v>
      </c>
      <c r="S239" s="138">
        <v>0</v>
      </c>
      <c r="T239" s="138"/>
      <c r="U239" s="138"/>
      <c r="V239" s="138"/>
      <c r="W239" s="138"/>
      <c r="X239" s="138"/>
      <c r="Y239" s="138"/>
      <c r="Z239" s="138"/>
      <c r="AA239" s="138"/>
    </row>
    <row r="240" spans="1:27" s="124" customFormat="1" x14ac:dyDescent="0.25">
      <c r="A240" s="121" t="s">
        <v>37</v>
      </c>
      <c r="B240" s="122">
        <v>30</v>
      </c>
      <c r="C240" s="123">
        <v>2.12</v>
      </c>
      <c r="D240" s="123">
        <v>4</v>
      </c>
      <c r="E240" s="123">
        <v>2.12</v>
      </c>
      <c r="F240" s="122">
        <v>4</v>
      </c>
      <c r="G240" s="123">
        <v>1.72</v>
      </c>
      <c r="H240" s="122">
        <v>4</v>
      </c>
      <c r="I240" s="151">
        <v>2.13</v>
      </c>
      <c r="J240" s="122">
        <v>4</v>
      </c>
      <c r="K240" s="151">
        <v>2.13</v>
      </c>
      <c r="L240" s="122">
        <v>8</v>
      </c>
      <c r="M240" s="122">
        <v>1.62</v>
      </c>
      <c r="N240" s="122">
        <v>8</v>
      </c>
      <c r="O240" s="122">
        <v>1.62</v>
      </c>
      <c r="P240" s="137">
        <v>110</v>
      </c>
      <c r="Q240" s="138">
        <v>0</v>
      </c>
      <c r="R240" s="138">
        <v>0</v>
      </c>
      <c r="S240" s="138">
        <v>0</v>
      </c>
      <c r="T240" s="138"/>
      <c r="U240" s="138"/>
      <c r="V240" s="138"/>
      <c r="W240" s="138"/>
      <c r="X240" s="138"/>
      <c r="Y240" s="138"/>
      <c r="Z240" s="138"/>
      <c r="AA240" s="138"/>
    </row>
    <row r="241" spans="1:27" s="124" customFormat="1" x14ac:dyDescent="0.25">
      <c r="A241" s="121" t="s">
        <v>298</v>
      </c>
      <c r="B241" s="122">
        <v>32</v>
      </c>
      <c r="C241" s="135">
        <v>1.4</v>
      </c>
      <c r="D241" s="123">
        <v>4</v>
      </c>
      <c r="E241" s="135">
        <v>1.4</v>
      </c>
      <c r="F241" s="122">
        <v>6</v>
      </c>
      <c r="G241" s="135">
        <v>1.72</v>
      </c>
      <c r="H241" s="122">
        <v>4</v>
      </c>
      <c r="I241" s="136">
        <v>1.41</v>
      </c>
      <c r="J241" s="122">
        <v>4</v>
      </c>
      <c r="K241" s="136">
        <v>1.41</v>
      </c>
      <c r="L241" s="122">
        <v>4</v>
      </c>
      <c r="M241" s="135">
        <v>1.62</v>
      </c>
      <c r="N241" s="122">
        <v>4</v>
      </c>
      <c r="O241" s="135">
        <v>1.62</v>
      </c>
      <c r="P241" s="137">
        <v>150</v>
      </c>
      <c r="Q241" s="138"/>
      <c r="R241" s="138"/>
      <c r="S241" s="138"/>
      <c r="T241" s="138">
        <v>16</v>
      </c>
      <c r="U241" s="138">
        <v>1.9</v>
      </c>
      <c r="V241" s="138">
        <v>2</v>
      </c>
      <c r="W241" s="138">
        <v>1.9</v>
      </c>
      <c r="X241" s="138">
        <v>2</v>
      </c>
      <c r="Y241" s="138">
        <v>1.91</v>
      </c>
      <c r="Z241" s="138">
        <v>2</v>
      </c>
      <c r="AA241" s="138">
        <v>1.91</v>
      </c>
    </row>
    <row r="242" spans="1:27" s="124" customFormat="1" x14ac:dyDescent="0.25">
      <c r="A242" s="121" t="s">
        <v>299</v>
      </c>
      <c r="B242" s="122">
        <v>16</v>
      </c>
      <c r="C242" s="135">
        <v>1.4</v>
      </c>
      <c r="D242" s="123">
        <v>2</v>
      </c>
      <c r="E242" s="135">
        <v>1.4</v>
      </c>
      <c r="F242" s="122">
        <v>6</v>
      </c>
      <c r="G242" s="135">
        <v>1.72</v>
      </c>
      <c r="H242" s="122">
        <v>2</v>
      </c>
      <c r="I242" s="136">
        <v>1.41</v>
      </c>
      <c r="J242" s="122">
        <v>2</v>
      </c>
      <c r="K242" s="136">
        <v>1.41</v>
      </c>
      <c r="L242" s="122">
        <v>5</v>
      </c>
      <c r="M242" s="135">
        <v>1.62</v>
      </c>
      <c r="N242" s="122">
        <v>5</v>
      </c>
      <c r="O242" s="135">
        <v>1.62</v>
      </c>
      <c r="P242" s="137">
        <v>150</v>
      </c>
      <c r="Q242" s="138"/>
      <c r="R242" s="138"/>
      <c r="S242" s="138"/>
      <c r="T242" s="138">
        <v>32</v>
      </c>
      <c r="U242" s="138">
        <v>1.9</v>
      </c>
      <c r="V242" s="138">
        <v>4</v>
      </c>
      <c r="W242" s="138">
        <v>1.9</v>
      </c>
      <c r="X242" s="138">
        <v>4</v>
      </c>
      <c r="Y242" s="138">
        <v>1.91</v>
      </c>
      <c r="Z242" s="138">
        <v>4</v>
      </c>
      <c r="AA242" s="138">
        <v>1.91</v>
      </c>
    </row>
    <row r="243" spans="1:27" s="124" customFormat="1" x14ac:dyDescent="0.25">
      <c r="A243" s="121" t="s">
        <v>300</v>
      </c>
      <c r="B243" s="122">
        <v>48</v>
      </c>
      <c r="C243" s="135">
        <v>1.9</v>
      </c>
      <c r="D243" s="123">
        <v>6</v>
      </c>
      <c r="E243" s="135">
        <v>1.9</v>
      </c>
      <c r="F243" s="122">
        <v>6</v>
      </c>
      <c r="G243" s="135">
        <v>1.72</v>
      </c>
      <c r="H243" s="122">
        <v>6</v>
      </c>
      <c r="I243" s="136">
        <v>1.91</v>
      </c>
      <c r="J243" s="122">
        <v>6</v>
      </c>
      <c r="K243" s="136">
        <v>1.91</v>
      </c>
      <c r="L243" s="122">
        <v>6</v>
      </c>
      <c r="M243" s="135">
        <v>1.62</v>
      </c>
      <c r="N243" s="122">
        <v>6</v>
      </c>
      <c r="O243" s="135">
        <v>1.62</v>
      </c>
      <c r="P243" s="137">
        <v>150</v>
      </c>
      <c r="Q243" s="138"/>
      <c r="R243" s="138"/>
      <c r="S243" s="138"/>
      <c r="T243" s="138"/>
      <c r="U243" s="138"/>
      <c r="V243" s="138"/>
      <c r="W243" s="138"/>
      <c r="X243" s="138"/>
      <c r="Y243" s="138"/>
      <c r="Z243" s="138"/>
      <c r="AA243" s="138"/>
    </row>
  </sheetData>
  <mergeCells count="27">
    <mergeCell ref="AK141:AL141"/>
    <mergeCell ref="J141:K141"/>
    <mergeCell ref="L141:M141"/>
    <mergeCell ref="AC141:AD141"/>
    <mergeCell ref="N141:O141"/>
    <mergeCell ref="P141:Q141"/>
    <mergeCell ref="AA141:AB141"/>
    <mergeCell ref="AE141:AF141"/>
    <mergeCell ref="AG141:AH141"/>
    <mergeCell ref="AI141:AJ141"/>
    <mergeCell ref="H141:I141"/>
    <mergeCell ref="F88:G88"/>
    <mergeCell ref="A141:A142"/>
    <mergeCell ref="B133:C133"/>
    <mergeCell ref="D133:E133"/>
    <mergeCell ref="F133:G133"/>
    <mergeCell ref="H133:I133"/>
    <mergeCell ref="A133:A134"/>
    <mergeCell ref="B141:C141"/>
    <mergeCell ref="D141:E141"/>
    <mergeCell ref="F141:G141"/>
    <mergeCell ref="D88:E88"/>
    <mergeCell ref="A182:A183"/>
    <mergeCell ref="B3:C3"/>
    <mergeCell ref="A87:A88"/>
    <mergeCell ref="B87:B88"/>
    <mergeCell ref="C87:C88"/>
  </mergeCells>
  <phoneticPr fontId="3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40</vt:i4>
      </vt:variant>
    </vt:vector>
  </HeadingPairs>
  <TitlesOfParts>
    <vt:vector size="45" baseType="lpstr">
      <vt:lpstr>Milan</vt:lpstr>
      <vt:lpstr>Tokyo</vt:lpstr>
      <vt:lpstr>Texas</vt:lpstr>
      <vt:lpstr>Texas (крепежн. вкладыш)</vt:lpstr>
      <vt:lpstr>Palermo</vt:lpstr>
      <vt:lpstr>BTYPS</vt:lpstr>
      <vt:lpstr>CBUAQ</vt:lpstr>
      <vt:lpstr>CCCMT</vt:lpstr>
      <vt:lpstr>CEXUI</vt:lpstr>
      <vt:lpstr>DYRFP</vt:lpstr>
      <vt:lpstr>FIGQB</vt:lpstr>
      <vt:lpstr>FYLTY</vt:lpstr>
      <vt:lpstr>GQIBE</vt:lpstr>
      <vt:lpstr>GURGW</vt:lpstr>
      <vt:lpstr>IANCJ</vt:lpstr>
      <vt:lpstr>IQDLQ</vt:lpstr>
      <vt:lpstr>JJEDD</vt:lpstr>
      <vt:lpstr>JSLDC</vt:lpstr>
      <vt:lpstr>KPHTG</vt:lpstr>
      <vt:lpstr>LHMNL</vt:lpstr>
      <vt:lpstr>MilType</vt:lpstr>
      <vt:lpstr>MRGOJ</vt:lpstr>
      <vt:lpstr>MUGNQ</vt:lpstr>
      <vt:lpstr>OGGLT</vt:lpstr>
      <vt:lpstr>PSAXR</vt:lpstr>
      <vt:lpstr>QPAFE</vt:lpstr>
      <vt:lpstr>RCHVF</vt:lpstr>
      <vt:lpstr>RCUTI</vt:lpstr>
      <vt:lpstr>RRWVS</vt:lpstr>
      <vt:lpstr>RWIPI</vt:lpstr>
      <vt:lpstr>SACMX</vt:lpstr>
      <vt:lpstr>TAYYL</vt:lpstr>
      <vt:lpstr>TokyoType</vt:lpstr>
      <vt:lpstr>TTAIM</vt:lpstr>
      <vt:lpstr>VNIHD</vt:lpstr>
      <vt:lpstr>VNVOX</vt:lpstr>
      <vt:lpstr>WHMSA</vt:lpstr>
      <vt:lpstr>XCECV</vt:lpstr>
      <vt:lpstr>XODFC</vt:lpstr>
      <vt:lpstr>YAWAO</vt:lpstr>
      <vt:lpstr>Milan!Область_печати</vt:lpstr>
      <vt:lpstr>Palermo!Область_печати</vt:lpstr>
      <vt:lpstr>Texas!Область_печати</vt:lpstr>
      <vt:lpstr>'Texas (крепежн. вкладыш)'!Область_печати</vt:lpstr>
      <vt:lpstr>Tokyo!Область_печати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oudovenko</dc:creator>
  <cp:lastModifiedBy>Алексей Кузнецов</cp:lastModifiedBy>
  <cp:lastPrinted>2023-09-14T06:38:31Z</cp:lastPrinted>
  <dcterms:created xsi:type="dcterms:W3CDTF">2021-04-27T05:53:55Z</dcterms:created>
  <dcterms:modified xsi:type="dcterms:W3CDTF">2023-12-13T08:23:42Z</dcterms:modified>
</cp:coreProperties>
</file>